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0" yWindow="0" windowWidth="15330" windowHeight="4650" tabRatio="797" activeTab="0"/>
  </bookViews>
  <sheets>
    <sheet name="CAPA" sheetId="1" r:id="rId1"/>
    <sheet name="Regras de Utilização" sheetId="2" r:id="rId2"/>
    <sheet name="Pressupostos" sheetId="3" r:id="rId3"/>
    <sheet name="VN" sheetId="4" r:id="rId4"/>
    <sheet name="CMVMC" sheetId="5" r:id="rId5"/>
    <sheet name="FSE" sheetId="6" r:id="rId6"/>
    <sheet name="Gastos com Pessoal" sheetId="7" r:id="rId7"/>
    <sheet name="FundoManeio" sheetId="8" r:id="rId8"/>
    <sheet name="Investimento" sheetId="9" r:id="rId9"/>
    <sheet name="Financiamento" sheetId="10" r:id="rId10"/>
    <sheet name="Ponto Crítico" sheetId="11" r:id="rId11"/>
    <sheet name="DR" sheetId="12" r:id="rId12"/>
    <sheet name="Cash Flow" sheetId="13" r:id="rId13"/>
    <sheet name="PlanoFinanceiro" sheetId="14" r:id="rId14"/>
    <sheet name="Balanço" sheetId="15" r:id="rId15"/>
    <sheet name="Indicadores" sheetId="16" r:id="rId16"/>
    <sheet name="Avaliação" sheetId="17" r:id="rId17"/>
    <sheet name="Calculos Auxiliares" sheetId="18" r:id="rId18"/>
    <sheet name="Sheet1" sheetId="19" r:id="rId19"/>
  </sheets>
  <externalReferences>
    <externalReference r:id="rId22"/>
    <externalReference r:id="rId23"/>
    <externalReference r:id="rId24"/>
  </externalReferences>
  <definedNames>
    <definedName name="anscount" hidden="1">1</definedName>
    <definedName name="Bu">'[1]INPUT'!$B$10</definedName>
    <definedName name="DC">'[1]INPUT'!$B$8</definedName>
    <definedName name="EXHIBIT_01">#REF!</definedName>
    <definedName name="EXHIBIT_02" localSheetId="17">#REF!</definedName>
    <definedName name="EXHIBIT_02" localSheetId="10">#REF!</definedName>
    <definedName name="EXHIBIT_02">#REF!</definedName>
    <definedName name="EXHIBIT_05" localSheetId="17">#REF!</definedName>
    <definedName name="EXHIBIT_05" localSheetId="10">#REF!</definedName>
    <definedName name="EXHIBIT_05">#REF!</definedName>
    <definedName name="EXHIBIT_06" localSheetId="17">#REF!</definedName>
    <definedName name="EXHIBIT_06" localSheetId="10">#REF!</definedName>
    <definedName name="EXHIBIT_06">#REF!</definedName>
    <definedName name="EXHIBIT_07" localSheetId="17">#REF!</definedName>
    <definedName name="EXHIBIT_07" localSheetId="10">#REF!</definedName>
    <definedName name="EXHIBIT_07">#REF!</definedName>
    <definedName name="EXHIBIT_08" localSheetId="17">#REF!</definedName>
    <definedName name="EXHIBIT_08" localSheetId="10">#REF!</definedName>
    <definedName name="EXHIBIT_08">#REF!</definedName>
    <definedName name="new_proj">'[2]Novos Projectos'!$A$3:$A$57</definedName>
    <definedName name="Pm">'[1]INPUT'!$B$6</definedName>
    <definedName name="_xlnm.Print_Area" localSheetId="16">'Avaliação'!$A$1:$M$67</definedName>
    <definedName name="_xlnm.Print_Area" localSheetId="14">'Balanço'!$A$1:$M$51</definedName>
    <definedName name="_xlnm.Print_Area" localSheetId="17">'Calculos Auxiliares'!$A$1:$H$91</definedName>
    <definedName name="_xlnm.Print_Area" localSheetId="12">'Cash Flow'!$A$1:$M$23</definedName>
    <definedName name="_xlnm.Print_Area" localSheetId="4">'CMVMC'!$A$1:$M$29</definedName>
    <definedName name="_xlnm.Print_Area" localSheetId="11">'DR'!$A$1:$L$32</definedName>
    <definedName name="_xlnm.Print_Area" localSheetId="9">'Financiamento'!$A$1:$M$104</definedName>
    <definedName name="_xlnm.Print_Area" localSheetId="5">'FSE'!$A$1:$P$53</definedName>
    <definedName name="_xlnm.Print_Area" localSheetId="7">'FundoManeio'!$A$1:$M$27</definedName>
    <definedName name="_xlnm.Print_Area" localSheetId="6">'Gastos com Pessoal'!$A$1:$N$102</definedName>
    <definedName name="_xlnm.Print_Area" localSheetId="15">'Indicadores'!$A$1:$L$28</definedName>
    <definedName name="_xlnm.Print_Area" localSheetId="8">'Investimento'!$A$1:$M$168</definedName>
    <definedName name="_xlnm.Print_Area" localSheetId="13">'PlanoFinanceiro'!$A$1:$M$35</definedName>
    <definedName name="_xlnm.Print_Area" localSheetId="10">'Ponto Crítico'!$A$1:$L$13</definedName>
    <definedName name="_xlnm.Print_Area" localSheetId="2">'Pressupostos'!$A$1:$E$53</definedName>
    <definedName name="_xlnm.Print_Area" localSheetId="1">'Regras de Utilização'!$B$1:$C$37</definedName>
    <definedName name="_xlnm.Print_Area" localSheetId="3">'VN'!$A$1:$M$88</definedName>
    <definedName name="_xlnm.Print_Titles" localSheetId="9">'Financiamento'!$1:$6</definedName>
    <definedName name="_xlnm.Print_Titles" localSheetId="6">'Gastos com Pessoal'!$1:$4</definedName>
    <definedName name="_xlnm.Print_Titles" localSheetId="3">'VN'!$1:$5</definedName>
    <definedName name="Rd">'[1]INPUT'!$B$4</definedName>
    <definedName name="Rf">'[1]INPUT'!$B$5</definedName>
    <definedName name="t">'[1]INPUT'!$B$7</definedName>
    <definedName name="TD">'[1]INPUT'!$B$9</definedName>
    <definedName name="VARa">'[1]INPUT'!$B$12</definedName>
  </definedNames>
  <calcPr fullCalcOnLoad="1"/>
</workbook>
</file>

<file path=xl/sharedStrings.xml><?xml version="1.0" encoding="utf-8"?>
<sst xmlns="http://schemas.openxmlformats.org/spreadsheetml/2006/main" count="695" uniqueCount="467">
  <si>
    <t>Taxa Interna de Rentibilidade</t>
  </si>
  <si>
    <t>Pay Back period</t>
  </si>
  <si>
    <t>CF</t>
  </si>
  <si>
    <t>CF Acum</t>
  </si>
  <si>
    <t>Quantidades vendidas</t>
  </si>
  <si>
    <t xml:space="preserve">Preço Unitário </t>
  </si>
  <si>
    <t>Na perspectiva do Investidor</t>
  </si>
  <si>
    <t>Anos</t>
  </si>
  <si>
    <t>Pressupostos Gerais</t>
  </si>
  <si>
    <t>Custo</t>
  </si>
  <si>
    <t>Taxa de Juro</t>
  </si>
  <si>
    <t>Juro Anual</t>
  </si>
  <si>
    <t>Reembolso Anual</t>
  </si>
  <si>
    <t>Financiamento</t>
  </si>
  <si>
    <t>Solvabilidade Total</t>
  </si>
  <si>
    <t>Liquidez Reduzida</t>
  </si>
  <si>
    <t>Fornecedores</t>
  </si>
  <si>
    <t>Autonomia Financeira</t>
  </si>
  <si>
    <t>EMPRESA:</t>
  </si>
  <si>
    <t xml:space="preserve">TOTAL FSE  </t>
  </si>
  <si>
    <t>CMVMC</t>
  </si>
  <si>
    <t>Seguros Acidentes de Trabalho</t>
  </si>
  <si>
    <t>Ano 0</t>
  </si>
  <si>
    <t>Ano 1</t>
  </si>
  <si>
    <t>Ano 2</t>
  </si>
  <si>
    <t>Ano 3</t>
  </si>
  <si>
    <t>Ano 4</t>
  </si>
  <si>
    <t>Ano 5</t>
  </si>
  <si>
    <t>Subcontratos</t>
  </si>
  <si>
    <t>Royalties</t>
  </si>
  <si>
    <t>Comissões</t>
  </si>
  <si>
    <t>Pessoal</t>
  </si>
  <si>
    <t>Nº Meses</t>
  </si>
  <si>
    <t>Electricidade</t>
  </si>
  <si>
    <t>Artigos para oferta</t>
  </si>
  <si>
    <t>Rendas e alugueres</t>
  </si>
  <si>
    <t>Despesas de representação</t>
  </si>
  <si>
    <t>Comunicação</t>
  </si>
  <si>
    <t>Seguros</t>
  </si>
  <si>
    <t>Transportes de mercadorias</t>
  </si>
  <si>
    <t>Contencioso e notariado</t>
  </si>
  <si>
    <t>Conservação e reparação</t>
  </si>
  <si>
    <t>Publicidade e propaganda</t>
  </si>
  <si>
    <t>Limpeza, higiene e conforto</t>
  </si>
  <si>
    <t>Honorários</t>
  </si>
  <si>
    <t xml:space="preserve">Formação </t>
  </si>
  <si>
    <t>TOTAL</t>
  </si>
  <si>
    <t>Proveitos Financeiros</t>
  </si>
  <si>
    <t>ACTIVO</t>
  </si>
  <si>
    <t>Clientes</t>
  </si>
  <si>
    <t>Estado</t>
  </si>
  <si>
    <t>TOTAL ACTIVO</t>
  </si>
  <si>
    <t>PASSIVO</t>
  </si>
  <si>
    <t>TOTAL PASSIVO</t>
  </si>
  <si>
    <t>Unidade monetária</t>
  </si>
  <si>
    <t>Investimento</t>
  </si>
  <si>
    <t>Demonstração de Resultados Previsional</t>
  </si>
  <si>
    <t>Balanço Previsional</t>
  </si>
  <si>
    <t>Mapa de Cash Flows Operacionais</t>
  </si>
  <si>
    <t>Principais Indicadores</t>
  </si>
  <si>
    <t>FSE + IVA</t>
  </si>
  <si>
    <t>Valor em divida</t>
  </si>
  <si>
    <t>IVA</t>
  </si>
  <si>
    <t>Empresa:</t>
  </si>
  <si>
    <t>TOTAL VENDAS</t>
  </si>
  <si>
    <t>TOTAL VOLUME DE NEGÓCIOS</t>
  </si>
  <si>
    <t>Margem Bruta</t>
  </si>
  <si>
    <t>TOTAL CMVMC</t>
  </si>
  <si>
    <t>TOTAL CMVMC + IVA</t>
  </si>
  <si>
    <t>TOTAL VOLUME DE NEGÓCIOS + IVA</t>
  </si>
  <si>
    <t>FSE - Fornecimentos e Serviços Externos</t>
  </si>
  <si>
    <t>CMVMC - Custo das Mercadorias Vendidas e Matérias Consumidas</t>
  </si>
  <si>
    <t>Taxa de crescimento</t>
  </si>
  <si>
    <t>Valor Mensal</t>
  </si>
  <si>
    <t>Serviço A</t>
  </si>
  <si>
    <t>Serviço B</t>
  </si>
  <si>
    <t>Serviço C</t>
  </si>
  <si>
    <t>Serviço D</t>
  </si>
  <si>
    <t>Taxa de crescimento das unidades vendidas</t>
  </si>
  <si>
    <t>Segurança Social</t>
  </si>
  <si>
    <t>QUADRO RESUMO</t>
  </si>
  <si>
    <t>Outros custos com pessoal</t>
  </si>
  <si>
    <t>Necessidades Fundo Maneio</t>
  </si>
  <si>
    <t>Recursos Fundo Maneio</t>
  </si>
  <si>
    <t>Investimento em Fundo de Maneio</t>
  </si>
  <si>
    <t>Reserva Segurança Tesouraria</t>
  </si>
  <si>
    <t xml:space="preserve">Taxa média de IRS </t>
  </si>
  <si>
    <t>Meios Libertos do Projecto</t>
  </si>
  <si>
    <t xml:space="preserve">   Fundo de Maneio</t>
  </si>
  <si>
    <t xml:space="preserve">   Capital Fixo</t>
  </si>
  <si>
    <t>Taxa de IRC</t>
  </si>
  <si>
    <t>CASH FLOW de Exploração</t>
  </si>
  <si>
    <t>Margem de segurança</t>
  </si>
  <si>
    <t>Necessidades de financiamento</t>
  </si>
  <si>
    <t xml:space="preserve">TOTAL </t>
  </si>
  <si>
    <t>Meios Libertos Brutos</t>
  </si>
  <si>
    <t>Desinvest. em Capital Fixo</t>
  </si>
  <si>
    <t>Desinvest. em FMN</t>
  </si>
  <si>
    <t>Total das Origens</t>
  </si>
  <si>
    <t>Inv. Capital Fixo</t>
  </si>
  <si>
    <t>Inv Fundo de Maneio</t>
  </si>
  <si>
    <t>Reembolso de Empréstimos</t>
  </si>
  <si>
    <t>Encargos Financeiros</t>
  </si>
  <si>
    <t>Total das Aplicações</t>
  </si>
  <si>
    <t>Saldo de Tesouraria Anual</t>
  </si>
  <si>
    <t>ORIGENS DE FUNDOS</t>
  </si>
  <si>
    <t>APLICAÇÕES DE FUNDOS</t>
  </si>
  <si>
    <t>Taxa de IVA - CMVMC</t>
  </si>
  <si>
    <t>Taxa de IVA - FSE</t>
  </si>
  <si>
    <t>Taxa de juro de activos sem risco</t>
  </si>
  <si>
    <t>Prémio de risco de mercado</t>
  </si>
  <si>
    <t>Meios Libertos</t>
  </si>
  <si>
    <t>CASH FLOW acumulado</t>
  </si>
  <si>
    <t>Saldo de Tesouraria Acumulado</t>
  </si>
  <si>
    <t>Soma Controlo</t>
  </si>
  <si>
    <t>Reembolso</t>
  </si>
  <si>
    <t>Taxa de Crescimento do Negócio</t>
  </si>
  <si>
    <t>INDICADORES ECONÓMICOS - FINANCEIROS</t>
  </si>
  <si>
    <t>INDICADORES ECONÓMICOS</t>
  </si>
  <si>
    <t>INDICADORES FINANCEIROS</t>
  </si>
  <si>
    <t>INDICADORES DE LIQUIDEZ</t>
  </si>
  <si>
    <t>Return On Investment (ROI)</t>
  </si>
  <si>
    <t>Rendibilidade do Activo</t>
  </si>
  <si>
    <t>Rotação do Activo</t>
  </si>
  <si>
    <t>Rendibilidade dos Capitais Próprios (ROE)</t>
  </si>
  <si>
    <t>INDICADORES DE RISCO NEGÓCIO</t>
  </si>
  <si>
    <t>Free cash-flow</t>
  </si>
  <si>
    <t>Factor actualização</t>
  </si>
  <si>
    <t>Fluxos Actualizados</t>
  </si>
  <si>
    <t>Free Cash Flow do Equity</t>
  </si>
  <si>
    <t>Free Cash Flow to Firm</t>
  </si>
  <si>
    <t>WACC</t>
  </si>
  <si>
    <t>Fluxos actualizados</t>
  </si>
  <si>
    <t>Factor de actualização</t>
  </si>
  <si>
    <t>Custo ponderado</t>
  </si>
  <si>
    <t>Passos para preenchimento:</t>
  </si>
  <si>
    <r>
      <t>Ü</t>
    </r>
    <r>
      <rPr>
        <sz val="10"/>
        <rFont val="Arial Narrow"/>
        <family val="2"/>
      </rPr>
      <t xml:space="preserve"> Só devem ser inseridos valores nas células com fundo branco;</t>
    </r>
  </si>
  <si>
    <t>Principais regras de utilização:</t>
  </si>
  <si>
    <t>Colocar na sheet CMVMC na célula correspondente, as margens brutas de negócio para cada um dos produtos vendidos;</t>
  </si>
  <si>
    <t>Na sheet FSE, estimar um valor médio mensal para cada umas das rubricas que se adaptem à empresa / negócio;</t>
  </si>
  <si>
    <t>Posteriormente, definir o quadro de investimento da empresa / projecto na sheet de Investimentos, repartida pelas diferentes rubricas de investimento em activo fixo;</t>
  </si>
  <si>
    <t>Ano 6</t>
  </si>
  <si>
    <t>Tx IVA</t>
  </si>
  <si>
    <t>Taxa de juro de empréstimo Curto Prazo</t>
  </si>
  <si>
    <t>* Produtos / Familias de Produtos / Mercadorias</t>
  </si>
  <si>
    <t>Produto A *</t>
  </si>
  <si>
    <t>Produto B *</t>
  </si>
  <si>
    <t>Produto C *</t>
  </si>
  <si>
    <t>Produto D *</t>
  </si>
  <si>
    <t>Taxa de variação dos preços</t>
  </si>
  <si>
    <t>IVA VENDAS</t>
  </si>
  <si>
    <t>NOTA: Caso não tenha conhecimento das quantidades, colocar o valor das vendas na linha das "Quantidades Vendidas" e o valor 1 na linha do "Preço Unitário".</t>
  </si>
  <si>
    <t>NOTA: Mapa construído caso a caso:</t>
  </si>
  <si>
    <t>b) Efectuar os cálculos auxiliares considerados necessários para alcançar a o nível de matéria-prima por unidade produzida e introduzir manualmente os valores;</t>
  </si>
  <si>
    <t>Outro Pessoal</t>
  </si>
  <si>
    <t>Retenção SS Colaborador</t>
  </si>
  <si>
    <t>Retenção IRS Colaborador</t>
  </si>
  <si>
    <t>Retenções Colaboradores</t>
  </si>
  <si>
    <t>TOTAL Retenções</t>
  </si>
  <si>
    <t>*</t>
  </si>
  <si>
    <t>Resultados Operacionais (EBIT) x (1-IRC)</t>
  </si>
  <si>
    <t>Investim./Desinvest. em Fundo Maneio</t>
  </si>
  <si>
    <t>Investim./Desinvest. em Capital Fixo</t>
  </si>
  <si>
    <t>Fontes de Financiamento</t>
  </si>
  <si>
    <t>Plano de Financiamento</t>
  </si>
  <si>
    <t xml:space="preserve">Imposto sobre os Lucros </t>
  </si>
  <si>
    <t xml:space="preserve">Pagamento de Dividendos </t>
  </si>
  <si>
    <t>Capital Social (entrada de fundos)</t>
  </si>
  <si>
    <t>Empréstimos Obtidos</t>
  </si>
  <si>
    <t>Imposto Selo (0,4%)</t>
  </si>
  <si>
    <r>
      <t>Ü</t>
    </r>
    <r>
      <rPr>
        <sz val="10"/>
        <rFont val="Arial Narrow"/>
        <family val="2"/>
      </rPr>
      <t xml:space="preserve"> No caso de pretender efectuar uma análise de sensibilidade, utilize este mesmo modelo, mas com diferentes valores.</t>
    </r>
  </si>
  <si>
    <t>Avaliação do Projecto / Empresa</t>
  </si>
  <si>
    <r>
      <t>Ü</t>
    </r>
    <r>
      <rPr>
        <sz val="10"/>
        <rFont val="Arial Narrow"/>
        <family val="2"/>
      </rPr>
      <t xml:space="preserve"> A utilização deste modelo tem por base um trabalho prévio por parte do utilizador no que diz respeito à previsão de proveitos e de custos;</t>
    </r>
  </si>
  <si>
    <t>Investimento em Fundo Maneio Necessário</t>
  </si>
  <si>
    <t>Prazo médio de Recebimento (dias) / (meses)</t>
  </si>
  <si>
    <t>Prazo médio de Pagamento (dias) / (meses)</t>
  </si>
  <si>
    <t>Prazo médio de Stockagem (dias) / (meses)</t>
  </si>
  <si>
    <t>s</t>
  </si>
  <si>
    <t xml:space="preserve">Taxa de IVA - Vendas </t>
  </si>
  <si>
    <t>Taxa de IVA - Prestação Serviços</t>
  </si>
  <si>
    <t>VENDAS - MERCADO NACIONAL</t>
  </si>
  <si>
    <t>VENDAS - EXPORTAÇÃO</t>
  </si>
  <si>
    <t>TOTAL VENDAS - MERCADO NACIONAL</t>
  </si>
  <si>
    <t>TOTAL VENDAS - EXPORTAÇÕES</t>
  </si>
  <si>
    <t>TOTAL PRESTAÇÕES SERVIÇOS</t>
  </si>
  <si>
    <t>Incremento Anual (Vencimentos + Sub. Almoço)</t>
  </si>
  <si>
    <r>
      <t>Ü</t>
    </r>
    <r>
      <rPr>
        <sz val="10"/>
        <rFont val="Arial Narrow"/>
        <family val="2"/>
      </rPr>
      <t xml:space="preserve"> Os valores que se encontrem a azul, poderão ser alterados, mas dentro dos mesmos parâmetros;</t>
    </r>
  </si>
  <si>
    <t>Regras de utilização</t>
  </si>
  <si>
    <t>Na sheet de Fundo Maneio, definir a Reserva de Segurança de Tesouraria. Esta rubrica representa um valor mínimo de disponibilidades a manter ao longo do projecto;</t>
  </si>
  <si>
    <t>Taxa de crescimento dos cash flows na perpetuidade</t>
  </si>
  <si>
    <t>c) Caso não seja possível alcançar o nível do consumo de matéria-prima por produto, introduzir o valor do custo total, após a realização dos respectivos cálculos auxiliares.</t>
  </si>
  <si>
    <t>NOTA 2: Está disponível uma folha para cálculos auxiliares. Contém mapas para cálculo do CMVMC de projectos industriais.</t>
  </si>
  <si>
    <t>Material de escritório</t>
  </si>
  <si>
    <t>Vigilância e segurança</t>
  </si>
  <si>
    <t>Trabalhos especializados</t>
  </si>
  <si>
    <t>Gerência / Administração</t>
  </si>
  <si>
    <t>Fundo Maneio Necessário</t>
  </si>
  <si>
    <t>* A considerar caso seja necessário</t>
  </si>
  <si>
    <t>Financiamento bancário e outras Inst. Crédito</t>
  </si>
  <si>
    <t>Capital em dívida (início período)</t>
  </si>
  <si>
    <t>Valor em dívida</t>
  </si>
  <si>
    <t>Serviço da dívida</t>
  </si>
  <si>
    <t>Capital em dívida</t>
  </si>
  <si>
    <t>Juros pagos com Imposto Selo incluído</t>
  </si>
  <si>
    <t>Provisões do exercício</t>
  </si>
  <si>
    <t>Aplicações / Empréstimo Curto Prazo</t>
  </si>
  <si>
    <t>Estado e Outros Entes Públicos</t>
  </si>
  <si>
    <t>CAPITAL PRÓPRIO</t>
  </si>
  <si>
    <t>TOTAL PASSIVO + CAPITAIS PRÓPRIOS</t>
  </si>
  <si>
    <t>Grau de Alavanca Operacional</t>
  </si>
  <si>
    <t>Valor Actual Líquido (VAL)</t>
  </si>
  <si>
    <t>Capital Próprio</t>
  </si>
  <si>
    <t>Euros</t>
  </si>
  <si>
    <t>Colocar o nome da empresa na célula E1 na sheet de "Pressupostos";</t>
  </si>
  <si>
    <t>Valide os pressupostos aqui indicados e ajuste-os de acordo com o seu projecto</t>
  </si>
  <si>
    <t>MERCADO NACIONAL</t>
  </si>
  <si>
    <t>MERCADO EXTERNO</t>
  </si>
  <si>
    <t>a) Introduzir a Margem Bruta directamente, quando conhecida e passível de ser utilizada, ou efectuar a respectiva fórmula de cálculo;</t>
  </si>
  <si>
    <t>Administração / Direcção</t>
  </si>
  <si>
    <t>Administrativa Financeira</t>
  </si>
  <si>
    <t>Comercial / Marketing</t>
  </si>
  <si>
    <t>Produção / Operacional</t>
  </si>
  <si>
    <t>Qualidade</t>
  </si>
  <si>
    <t>Manutenção</t>
  </si>
  <si>
    <t>Aprovisionamento</t>
  </si>
  <si>
    <t>Investigação &amp; Desenvolvimento</t>
  </si>
  <si>
    <t>Outros</t>
  </si>
  <si>
    <t>Remuneração base mensal</t>
  </si>
  <si>
    <t>Remuneração base anual - TOTAL Colaboradores</t>
  </si>
  <si>
    <t>Investimento por ano</t>
  </si>
  <si>
    <t xml:space="preserve">   Edificios e Outras Construções</t>
  </si>
  <si>
    <t xml:space="preserve">   Equipamento  Básico</t>
  </si>
  <si>
    <t xml:space="preserve">   Equipamento de Transporte</t>
  </si>
  <si>
    <t xml:space="preserve">   Equipamento Administrativo</t>
  </si>
  <si>
    <t>Total Investimento</t>
  </si>
  <si>
    <t>Taxa de Aplicações Financeiras Curto Prazo</t>
  </si>
  <si>
    <t>Métodos de avaliação considerados:</t>
  </si>
  <si>
    <t>Para a melhor utilização do presente modelo o empreendedor deverá dominar conceitos básicos de análise económica e financeira ou, não sendo esse o caso, deve explorar as potencialidades do presente modelo acompanhado por alguém conhecedor desses conceitos. Por outro lado, este modelo Económico Financeiro deve ser acompanhado de informação qualitativa detalhada sobre o projecto e de explicação dos pressupostos de cálculos efectuados.</t>
  </si>
  <si>
    <t xml:space="preserve">Taxa de crescimento </t>
  </si>
  <si>
    <t>Os inputs do modelo estão inseridos, sendo necessário apenas fazer o acerto de disponibilidades. Assim sendo, na sheet de Plano Financeiro carregar no rectângulo que indica "Acerto do modelo"</t>
  </si>
  <si>
    <t>Para que o possa tirar partido de todas as funcionalidades do modelo, deverá confirmar se o nível de segurança das Macros esta em Médio. Para isso basta ir às Ferramentas - Macro - Segurança e no Nível de Segurança escolher / confirmar se está no Médio. Caso não esteja coloque a opção já indicada e feche o ficheiro. Quando reabrir , seleccione Aceitar Macro.</t>
  </si>
  <si>
    <t>Estimar o volume de negócios da empresa, através das quantidades vendidas, preço de venda dos produtos e de prestação de serviços. Caso pretenda utilize folha de cálculo anexa e faça apenas as respectivas ligações de acordo com a classificação contabilística do seu volume de negócios;</t>
  </si>
  <si>
    <t>Após a definição de todos estes pressupostos tem que definir a forma de financiamento do projecto na sheet Financiamento. Deverá indicar o valor de capital social inicial e eventuais aumentos, bem como o nível de suprimentos da empresa e / ou o valor dos empréstimos bancários;</t>
  </si>
  <si>
    <t>Taxa de IVA - Investimento</t>
  </si>
  <si>
    <t>Cálculo do WACC</t>
  </si>
  <si>
    <t>% Capital Próprio</t>
  </si>
  <si>
    <t>Taxa de juro de empréstimo ML Prazo</t>
  </si>
  <si>
    <t>Custo Financiamento</t>
  </si>
  <si>
    <t>Passivo Remunerado</t>
  </si>
  <si>
    <t>Custo financiamento com efeito fiscal</t>
  </si>
  <si>
    <t>% Passivo remunerado</t>
  </si>
  <si>
    <t>ESTADO</t>
  </si>
  <si>
    <t>SS</t>
  </si>
  <si>
    <t>IRS</t>
  </si>
  <si>
    <t>N.º de anos reembolso</t>
  </si>
  <si>
    <t>Taxa de juro associada</t>
  </si>
  <si>
    <t>Propriedades de investimento</t>
  </si>
  <si>
    <t>Terrenos e recursos naturais</t>
  </si>
  <si>
    <t>Edificios e Outras construções</t>
  </si>
  <si>
    <t>Outras propriedades de investimento</t>
  </si>
  <si>
    <t>Total propriedades de investimento</t>
  </si>
  <si>
    <t>Activos fixos tangíveis</t>
  </si>
  <si>
    <t>Equipamentos biológicos</t>
  </si>
  <si>
    <t xml:space="preserve">   Outros activos fixos tangiveis</t>
  </si>
  <si>
    <t>Gastos com o Pessoal</t>
  </si>
  <si>
    <t>Vendas + Prestações de Serviços</t>
  </si>
  <si>
    <t>PRESTAÇÕES DE SERVIÇOS - MERCADO NACIONAL</t>
  </si>
  <si>
    <t>PRESTAÇÕES DE SERVIÇOS - EXPORTAÇÕES</t>
  </si>
  <si>
    <t>TOTAL PRESTAÇÕES DE SERVIÇOS - EXPORTAÇÕES</t>
  </si>
  <si>
    <t>IVA PRESTAÇÕES DE SERVIÇOS</t>
  </si>
  <si>
    <t>Gastos/reversões de depreciação e amortização</t>
  </si>
  <si>
    <t>Imparidade de activos depreciáveis/amortizáveis (perdas/reversões)</t>
  </si>
  <si>
    <t>Juros e gastos similares suportados</t>
  </si>
  <si>
    <t>Juros e rendimentos similares obtidos</t>
  </si>
  <si>
    <t>Imposto sobre o rendimento do período</t>
  </si>
  <si>
    <t>RESULTADO LÍQUIDO DO PERÍODO</t>
  </si>
  <si>
    <t>Outros gastos e perdas</t>
  </si>
  <si>
    <t>Outros rendimentos e ganhos</t>
  </si>
  <si>
    <t>Gastos com o pessoal</t>
  </si>
  <si>
    <t>Fornecimento e serviços externos</t>
  </si>
  <si>
    <t>Trabalhos para a própria entidade</t>
  </si>
  <si>
    <t>Vendas e serviços prestados</t>
  </si>
  <si>
    <t>Subsídios à Exploração</t>
  </si>
  <si>
    <t>Ganhos/perdas imputados de subsidiárias, associadas e empreendimentos conjuntos</t>
  </si>
  <si>
    <t>Imparidade de inventários (perdas/reversões)</t>
  </si>
  <si>
    <t>Imparidade de dívidas a receber (perdas/reversões)</t>
  </si>
  <si>
    <t>Provisões (aumentos/reduções)</t>
  </si>
  <si>
    <t>Imparidade de investimentos não depreciáveis/amortizáveis (perdas/reversões)</t>
  </si>
  <si>
    <t>Aumentos/reduções de justo valor</t>
  </si>
  <si>
    <t>EBIT (Resultado Operacional)</t>
  </si>
  <si>
    <t>RESULTADO ANTES DE IMPOSTOS</t>
  </si>
  <si>
    <t>Variação nos inventários da produção</t>
  </si>
  <si>
    <t>Capital realizado</t>
  </si>
  <si>
    <t>Acções (quotas próprias)</t>
  </si>
  <si>
    <t>Outros instrumentos de capital próprio</t>
  </si>
  <si>
    <t>Excedentes de revalorização</t>
  </si>
  <si>
    <t>Outras variações no capital próprio</t>
  </si>
  <si>
    <t>Resultado líquido do período</t>
  </si>
  <si>
    <t>TOTAL DO CAPITAL PRÓPRIO</t>
  </si>
  <si>
    <t>Passivo não corrente</t>
  </si>
  <si>
    <t>Provisões</t>
  </si>
  <si>
    <t>Financiamentos obtidos</t>
  </si>
  <si>
    <t>Outras Contas a pagar</t>
  </si>
  <si>
    <t>Passivo corrente</t>
  </si>
  <si>
    <t>Accionistas/sócios</t>
  </si>
  <si>
    <t>Financiamentos Obtidos</t>
  </si>
  <si>
    <t>Outras contas a pagar</t>
  </si>
  <si>
    <t>Activo Não Corrente</t>
  </si>
  <si>
    <t>Activos Intangíveis</t>
  </si>
  <si>
    <t>Investimentos financeiros</t>
  </si>
  <si>
    <t>Activo corrente</t>
  </si>
  <si>
    <t>Inventários</t>
  </si>
  <si>
    <t>Outras contas a receber</t>
  </si>
  <si>
    <t>Diferimentos</t>
  </si>
  <si>
    <t>Caixa e depósitos bancários</t>
  </si>
  <si>
    <t>Total Activos Intangíveis</t>
  </si>
  <si>
    <t>Total Activos Fixos Tangíveis</t>
  </si>
  <si>
    <t>Goodwill</t>
  </si>
  <si>
    <t>Projectos de desenvolvimento</t>
  </si>
  <si>
    <t>Programas de computador</t>
  </si>
  <si>
    <t>Propriedade industrial</t>
  </si>
  <si>
    <t>Outros activos intangíveis</t>
  </si>
  <si>
    <t>Na sheet Gastos com Pessoal, definir os colaboradores (Gerência e Pessoal) da empresa e respectivas remunerações brutas mensais. Para além disto, definir, caso se aplique um valor para a formação e outros custos com pessoal;</t>
  </si>
  <si>
    <t>Perdas por imparidade</t>
  </si>
  <si>
    <t>Serviços especializados</t>
  </si>
  <si>
    <t>Materiais</t>
  </si>
  <si>
    <t>Ferramentas e utensilios de desgaste rápido</t>
  </si>
  <si>
    <t>Livros e documentação técnica</t>
  </si>
  <si>
    <t>Energia e fluidos</t>
  </si>
  <si>
    <t>Combustíveis</t>
  </si>
  <si>
    <t>Água</t>
  </si>
  <si>
    <t>Deslocações, estadas e transportes</t>
  </si>
  <si>
    <t>Deslocações e Estadas</t>
  </si>
  <si>
    <t>Transportes de pessoal</t>
  </si>
  <si>
    <t>Serviços diversos</t>
  </si>
  <si>
    <t>Outros serviços</t>
  </si>
  <si>
    <t>Remunerações</t>
  </si>
  <si>
    <t>Órgãos Sociais</t>
  </si>
  <si>
    <t>Encargos sobre remunerações</t>
  </si>
  <si>
    <t>Seguros Acidentes de Trabalho e doenças profissionais</t>
  </si>
  <si>
    <t>Gastos de acção social</t>
  </si>
  <si>
    <t>Outros gastos com pessoal</t>
  </si>
  <si>
    <t>Outros Gastos</t>
  </si>
  <si>
    <t>TOTAL OUTROS GASTOS</t>
  </si>
  <si>
    <t>TOTAL GASTOS COM PESSOAL</t>
  </si>
  <si>
    <t xml:space="preserve">Total </t>
  </si>
  <si>
    <t xml:space="preserve">   Terrenos e Recursos Naturais</t>
  </si>
  <si>
    <t xml:space="preserve">Capital </t>
  </si>
  <si>
    <t>Depreciações e amortizações</t>
  </si>
  <si>
    <t>Edificios e Outras Construções</t>
  </si>
  <si>
    <t>Comissões &amp; Prémios</t>
  </si>
  <si>
    <t>Taxas de Depreciações e amortizações</t>
  </si>
  <si>
    <t>Equipamento  Básico</t>
  </si>
  <si>
    <t>Equipamento de Transporte</t>
  </si>
  <si>
    <t>Equipamento Administrativo</t>
  </si>
  <si>
    <t>Outros activos fixos tangiveis</t>
  </si>
  <si>
    <t>Equipamento básico</t>
  </si>
  <si>
    <t>Equipamento de transporte</t>
  </si>
  <si>
    <t>Equipamento administrativo</t>
  </si>
  <si>
    <t>Equipamento biológicos</t>
  </si>
  <si>
    <t>Total Depreciações &amp; Amortizações</t>
  </si>
  <si>
    <t>* nota: se a taxa a utilizar for 33,33%, colocar mais uma casa decimal, considerando 33,333%</t>
  </si>
  <si>
    <t xml:space="preserve">Valores Acumulados </t>
  </si>
  <si>
    <t>Valores Balanço</t>
  </si>
  <si>
    <t>Depreciações &amp; Amortizações acumuladas</t>
  </si>
  <si>
    <t>Reservas</t>
  </si>
  <si>
    <t>Taxa de Segurança Social - entidade - órgãos sociais</t>
  </si>
  <si>
    <t>Taxa de Segurança Social - entidade - colaboradores</t>
  </si>
  <si>
    <t>Taxa de Segurança Social - pessoal - órgãos sociais</t>
  </si>
  <si>
    <t>Taxa de Segurança Social - pessoal - colaboradores</t>
  </si>
  <si>
    <t>Outros instrumentos de capital</t>
  </si>
  <si>
    <t xml:space="preserve">Investimento </t>
  </si>
  <si>
    <t>Cálculos Auxiliares</t>
  </si>
  <si>
    <t>Consumo de Unidades de Matérias-Primas por Unidade de Produto Acabado</t>
  </si>
  <si>
    <t>Matérias Primas e Subsidiárias (descriminação)</t>
  </si>
  <si>
    <t>Unidade de Medida</t>
  </si>
  <si>
    <t>Produto A</t>
  </si>
  <si>
    <t>Produto B</t>
  </si>
  <si>
    <t>Produto C</t>
  </si>
  <si>
    <t>Produto D</t>
  </si>
  <si>
    <t>Produção (em Quantidades)</t>
  </si>
  <si>
    <t>Unidades físicas</t>
  </si>
  <si>
    <t>Produtos</t>
  </si>
  <si>
    <t>Consumo de Matérias Primas 1*</t>
  </si>
  <si>
    <t>Matérias Primas e Subsidiárias</t>
  </si>
  <si>
    <t>Preço das Matérias Primas e Subsidiárias</t>
  </si>
  <si>
    <t xml:space="preserve">Matérias Primas e Subsidiárias </t>
  </si>
  <si>
    <t>Valor do consumo 2*</t>
  </si>
  <si>
    <t>1* obtido da  multiplicação da produção pelo consumo de matéria prima por unidade de produto acabado.</t>
  </si>
  <si>
    <t>2* obtido da multiplicação do consumo das matérias-primas pelo preço.</t>
  </si>
  <si>
    <t>Liquidez Corrente</t>
  </si>
  <si>
    <t>Cobertura dos encargos financeiros</t>
  </si>
  <si>
    <t>Grau de Alavanca Financeira</t>
  </si>
  <si>
    <t>Terrenos e Recursos Naturais</t>
  </si>
  <si>
    <t xml:space="preserve">   Equipamentos biológicos</t>
  </si>
  <si>
    <t>NOTA</t>
  </si>
  <si>
    <t>No caso de empresas industriais é aconselhado o uso da sheet Calculos Auxiliares. Esta sheet  constitui uma base de cálculo indispensável ao suporte previsional do modelo de projecções.</t>
  </si>
  <si>
    <t>CV</t>
  </si>
  <si>
    <t>FSE - Custos Fixos</t>
  </si>
  <si>
    <t>FSE - Custos Variáveis</t>
  </si>
  <si>
    <t>TOTAL FSE</t>
  </si>
  <si>
    <t>Margem Bruta de Contribuição</t>
  </si>
  <si>
    <t>FSE Variáveis</t>
  </si>
  <si>
    <t>Ponto Crítico</t>
  </si>
  <si>
    <t>Ponto Crítico Operacional Previsional</t>
  </si>
  <si>
    <t>Rentabilidade Líquida sobre as vendas</t>
  </si>
  <si>
    <t>N.º meses subsidio alimentação (meses)</t>
  </si>
  <si>
    <t>Quadro de Pessoal (n.º pessoas)</t>
  </si>
  <si>
    <t>Quadro de Pessoal (n.º meses de trabalho)</t>
  </si>
  <si>
    <t>N.º meses actividade primeiro ano</t>
  </si>
  <si>
    <t>N.º anos de carência</t>
  </si>
  <si>
    <t>Valor Residual ano N</t>
  </si>
  <si>
    <t>ou</t>
  </si>
  <si>
    <r>
      <rPr>
        <b/>
        <sz val="9"/>
        <color indexed="10"/>
        <rFont val="Arial Narrow"/>
        <family val="2"/>
      </rPr>
      <t>1.</t>
    </r>
    <r>
      <rPr>
        <sz val="8"/>
        <color indexed="12"/>
        <rFont val="Arial Narrow"/>
        <family val="2"/>
      </rPr>
      <t xml:space="preserve"> PERPETUIDADE a crescer à taxa g</t>
    </r>
  </si>
  <si>
    <t>Beta U de empresas de referência</t>
  </si>
  <si>
    <t>Taxa de Actualização R = Rf + Bu*(Rm-Rf)</t>
  </si>
  <si>
    <t>Na perspectiva do Projecto Pós-Financiamento</t>
  </si>
  <si>
    <r>
      <t xml:space="preserve">Custo Capital </t>
    </r>
    <r>
      <rPr>
        <sz val="8"/>
        <color indexed="12"/>
        <rFont val="Arial Narrow"/>
        <family val="2"/>
      </rPr>
      <t>Rcp = Rf+</t>
    </r>
    <r>
      <rPr>
        <b/>
        <i/>
        <sz val="8"/>
        <color indexed="12"/>
        <rFont val="Arial Narrow"/>
        <family val="2"/>
      </rPr>
      <t>B</t>
    </r>
    <r>
      <rPr>
        <sz val="8"/>
        <color indexed="12"/>
        <rFont val="Arial Narrow"/>
        <family val="2"/>
      </rPr>
      <t>p*(Rm-Rf</t>
    </r>
    <r>
      <rPr>
        <sz val="8"/>
        <rFont val="Arial Narrow"/>
        <family val="2"/>
      </rPr>
      <t>)</t>
    </r>
  </si>
  <si>
    <r>
      <rPr>
        <sz val="8"/>
        <color indexed="12"/>
        <rFont val="Arial Narrow"/>
        <family val="2"/>
      </rPr>
      <t xml:space="preserve">Beta p = </t>
    </r>
    <r>
      <rPr>
        <b/>
        <i/>
        <sz val="8"/>
        <color indexed="12"/>
        <rFont val="Arial Narrow"/>
        <family val="2"/>
      </rPr>
      <t>B</t>
    </r>
    <r>
      <rPr>
        <sz val="8"/>
        <color indexed="12"/>
        <rFont val="Arial Narrow"/>
        <family val="2"/>
      </rPr>
      <t>u * (1+(1-t)*CA/CP)</t>
    </r>
  </si>
  <si>
    <r>
      <t xml:space="preserve">Taxa de atualização </t>
    </r>
    <r>
      <rPr>
        <sz val="8"/>
        <color indexed="12"/>
        <rFont val="Arial Narrow"/>
        <family val="2"/>
      </rPr>
      <t>Ru = RF+Bu*(Rm-Rf)</t>
    </r>
  </si>
  <si>
    <t>Fuxos atualizados acumulados</t>
  </si>
  <si>
    <t>Ano inicial do projeto (Ano 0)</t>
  </si>
  <si>
    <t>Taxa de juro de ativos sem risco - Rf (Obrig Tesouro)</t>
  </si>
  <si>
    <t>* Rendimento esperado de mercado (entenda-se mercado acionista de referência)</t>
  </si>
  <si>
    <r>
      <rPr>
        <b/>
        <sz val="8"/>
        <color indexed="10"/>
        <rFont val="Arial Narrow"/>
        <family val="2"/>
      </rPr>
      <t>2.</t>
    </r>
    <r>
      <rPr>
        <sz val="8"/>
        <color indexed="12"/>
        <rFont val="Arial Narrow"/>
        <family val="2"/>
      </rPr>
      <t xml:space="preserve"> (Ativo Cap Fixo não depreciado N + Fundo de Maneio Necessário N)/ fator atualiz (h12*(1+I11))</t>
    </r>
  </si>
  <si>
    <r>
      <rPr>
        <b/>
        <sz val="8"/>
        <color indexed="10"/>
        <rFont val="Arial Narrow"/>
        <family val="2"/>
      </rPr>
      <t>2.</t>
    </r>
    <r>
      <rPr>
        <sz val="8"/>
        <color indexed="12"/>
        <rFont val="Arial Narrow"/>
        <family val="2"/>
      </rPr>
      <t xml:space="preserve"> (Ativo Cap Fixo não depreciado N + Fundo de Maneio Necessário N)/ fator atualiz (h32*(1+I31))</t>
    </r>
  </si>
  <si>
    <t>-</t>
  </si>
  <si>
    <r>
      <rPr>
        <b/>
        <sz val="8"/>
        <color indexed="10"/>
        <rFont val="Arial Narrow"/>
        <family val="2"/>
      </rPr>
      <t>2.</t>
    </r>
    <r>
      <rPr>
        <sz val="8"/>
        <color indexed="12"/>
        <rFont val="Arial Narrow"/>
        <family val="2"/>
      </rPr>
      <t xml:space="preserve"> Cap Proprio N =</t>
    </r>
    <r>
      <rPr>
        <sz val="6"/>
        <color indexed="12"/>
        <rFont val="Arial Narrow"/>
        <family val="2"/>
      </rPr>
      <t>(Ativo não depreciado + F.Maneio -Passivo) /(h54*(1+I53))</t>
    </r>
  </si>
  <si>
    <t>Prémio de risco de mercado = (Rm*-Rf) ou pº</t>
  </si>
  <si>
    <t xml:space="preserve">Na maioria dos projetos considerar 0% e utilizar Não a perpetuidade mas sim o valor residual o valor do Ativo Fixo não Amortizado e o Valor Residual do F Maneio no último ano. VER  Folha Avaliação em que existem as 2 Hipóteses. </t>
  </si>
  <si>
    <t xml:space="preserve"> = ano em que inicia o investimento e poderá ou não haver exploração</t>
  </si>
  <si>
    <t>Definido por Lei - ter em conta Localização e condições específicas da atividade</t>
  </si>
  <si>
    <t>A definir em fução do Lei e do valor dos rendimentos do trabalho.</t>
  </si>
  <si>
    <t>Em função do tipo de produtos e serviços</t>
  </si>
  <si>
    <t>A definir em função da prática da empresa e do sector assim como da política a prosseguir</t>
  </si>
  <si>
    <t>Ver condições de mercado e risco da empresa na ótica bancári</t>
  </si>
  <si>
    <t>Beta = 100% se não conhcer ou não utilizar empresa de referência</t>
  </si>
  <si>
    <r>
      <t xml:space="preserve">NOTA: Quando não se aplica </t>
    </r>
    <r>
      <rPr>
        <i/>
        <u val="single"/>
        <sz val="8"/>
        <color indexed="12"/>
        <rFont val="Arial Narrow"/>
        <family val="2"/>
      </rPr>
      <t>Beta</t>
    </r>
    <r>
      <rPr>
        <sz val="8"/>
        <color indexed="12"/>
        <rFont val="Arial Narrow"/>
        <family val="2"/>
      </rPr>
      <t xml:space="preserve">, colocar: </t>
    </r>
  </si>
  <si>
    <t>Um valor para o prémio de risco (pº) adequado ao projecto</t>
  </si>
  <si>
    <t>Pay Back period (arred ano inteiro)</t>
  </si>
  <si>
    <t>Reflete-se na Dívida de Clientes, no Fundo de Maneio, na Dem de resultados e no Balanço.  ACONSELHA-SE NÃO UTILIZAR =&gt; meter 0%</t>
  </si>
  <si>
    <t>No caso de pretender considerar um nº superior de produtos serviços do que os previstos na folha VN - recomenda-se:
a) copiar a folha VN para uma folha desprotegida em que poderá considerar todos os produtos
b) Meter o valor total dos produtos para o mercado interno em VN - Produto A e o Valor total de produtos exportados em Exportações - Produto A.</t>
  </si>
  <si>
    <t>Aconselha-se considerar as Imparidades em 0%, pelas implicações a níveld e interpretação, já que apenas serão contabilizadas imparidades sobre Clientes com consequência no valor do F de Maneio.</t>
  </si>
  <si>
    <t>XPTO SA</t>
  </si>
  <si>
    <t>Outros instrumentos de capital (+/-)</t>
  </si>
  <si>
    <t>Empréstimos de Sócios (+) ou  Reembolsos a sócios (-)</t>
  </si>
  <si>
    <t>Subsidios (+/-)</t>
  </si>
  <si>
    <t>Na folha Financiamento é possível considerar valores positivos (aumentos) ou valor negativos (reembolsos) para as rúbricas:
* Outros instrumentos de capital (+/-)   
* Empréstimos de Sócios (+) ou Reembolsos a sócios (-)
* Financiamento bancário e outras Inst. Crédito
 * Subsidios (+/-)</t>
  </si>
  <si>
    <t>ACERTAR MODELO: Após carregamento dos dados e sempre que introduza alterações, é necessário carregar na tecla ACERTAR MODELO na folha PLANO FINANCEIRO</t>
  </si>
  <si>
    <t>Subsídio Alimentação (média menssal)</t>
  </si>
  <si>
    <t>A distribuição de dividendos poderá ser registada na folha PLANO FINANCEIRO Linha 22</t>
  </si>
  <si>
    <r>
      <t>Na perspectiva do Projecto Pré-Financiamento</t>
    </r>
    <r>
      <rPr>
        <b/>
        <sz val="8"/>
        <color indexed="12"/>
        <rFont val="Arial Narrow"/>
        <family val="2"/>
      </rPr>
      <t xml:space="preserve"> = 100% CP</t>
    </r>
  </si>
  <si>
    <t>TOTAL PRESTAÇÕES DE SERVIÇOS-MERCADO NACIONAL</t>
  </si>
  <si>
    <t>EBITDA (Resultado antes depreciações, gastos financiamento e impostos)</t>
  </si>
  <si>
    <t xml:space="preserve">NOTA: A utilização desta ferramenta,  disponibilizada pelo IAPMEI ,  é completamente autónoma  de  qualquer 
outra área/atividade do IAPMEI. Independentemente do fim a que se destine, a utilização da ferramente
 assim   como  dos  resultados  com   ela  obtidos,  é  da  inteira   responsabilidade   de   cada  utilizador.  </t>
  </si>
  <si>
    <r>
      <t>Em linhas gerais, o método dos fluxos de caixa descontados consiste em estimar-se os fluxos de caixa futuros da empresa e trazê-los a valor presente por uma determinada taxa de desconto (WACC). Por outras palavras - o</t>
    </r>
    <r>
      <rPr>
        <b/>
        <sz val="8"/>
        <color indexed="12"/>
        <rFont val="Arial Narrow"/>
        <family val="2"/>
      </rPr>
      <t xml:space="preserve"> valor de uma empresa </t>
    </r>
    <r>
      <rPr>
        <sz val="8"/>
        <rFont val="Arial Narrow"/>
        <family val="2"/>
      </rPr>
      <t xml:space="preserve">= Valor presente (atual) dos fluxos FCFF (fluxo de caixa líquido para a firma, do inglês Free Cash Flow to Firm). FCFF = CFL = EBITx(1-t)+Amortiz -Investimento (Capital Fixo - Fundo de Maneio Necessário). 
</t>
    </r>
    <r>
      <rPr>
        <b/>
        <sz val="8"/>
        <color indexed="12"/>
        <rFont val="Arial Narrow"/>
        <family val="2"/>
      </rPr>
      <t>Na ótica do Investidor o Valor</t>
    </r>
    <r>
      <rPr>
        <sz val="8"/>
        <rFont val="Arial Narrow"/>
        <family val="2"/>
      </rPr>
      <t xml:space="preserve"> = </t>
    </r>
    <r>
      <rPr>
        <sz val="8"/>
        <color indexed="12"/>
        <rFont val="Arial Narrow"/>
        <family val="2"/>
      </rPr>
      <t xml:space="preserve">Valor da Empresa </t>
    </r>
    <r>
      <rPr>
        <sz val="8"/>
        <rFont val="Arial Narrow"/>
        <family val="2"/>
      </rPr>
      <t xml:space="preserve">- Dívida Financeira Líquida de Ativos Financeiros.
</t>
    </r>
    <r>
      <rPr>
        <b/>
        <u val="single"/>
        <sz val="8"/>
        <rFont val="Arial Narrow"/>
        <family val="2"/>
      </rPr>
      <t>AVALIAÇÃO DO PROJETO:</t>
    </r>
    <r>
      <rPr>
        <b/>
        <sz val="8"/>
        <rFont val="Arial Narrow"/>
        <family val="2"/>
      </rPr>
      <t xml:space="preserve">  </t>
    </r>
    <r>
      <rPr>
        <b/>
        <sz val="8"/>
        <color indexed="12"/>
        <rFont val="Arial Narrow"/>
        <family val="2"/>
      </rPr>
      <t xml:space="preserve"> FCFF = CFL = EBITx(1-t)+Amortiz -Investimento (Capital Fixo - Fundo de Maneio Necessário) + valor residual investim (ano n)</t>
    </r>
    <r>
      <rPr>
        <sz val="8"/>
        <rFont val="Arial Narrow"/>
        <family val="2"/>
      </rPr>
      <t xml:space="preserve">
</t>
    </r>
    <r>
      <rPr>
        <b/>
        <sz val="8"/>
        <rFont val="Arial Narrow"/>
        <family val="2"/>
      </rPr>
      <t>1.</t>
    </r>
    <r>
      <rPr>
        <sz val="8"/>
        <rFont val="Arial Narrow"/>
        <family val="2"/>
      </rPr>
      <t xml:space="preserve"> </t>
    </r>
    <r>
      <rPr>
        <b/>
        <sz val="8"/>
        <color indexed="12"/>
        <rFont val="Arial Narrow"/>
        <family val="2"/>
      </rPr>
      <t>Na análise do projeto ou pré-financiamento em que se ignora a forma de financiamento o que é = 100% Cap Próprio</t>
    </r>
    <r>
      <rPr>
        <sz val="8"/>
        <color indexed="12"/>
        <rFont val="Arial Narrow"/>
        <family val="2"/>
      </rPr>
      <t>)</t>
    </r>
    <r>
      <rPr>
        <sz val="8"/>
        <rFont val="Arial Narrow"/>
        <family val="2"/>
      </rPr>
      <t xml:space="preserve"> a tx de utilização </t>
    </r>
    <r>
      <rPr>
        <b/>
        <sz val="8"/>
        <color indexed="12"/>
        <rFont val="Arial Narrow"/>
        <family val="2"/>
      </rPr>
      <t xml:space="preserve">R = Rf + Bu*(Rm - Rf). </t>
    </r>
    <r>
      <rPr>
        <sz val="8"/>
        <rFont val="Arial Narrow"/>
        <family val="2"/>
      </rPr>
      <t xml:space="preserve">
</t>
    </r>
    <r>
      <rPr>
        <b/>
        <sz val="8"/>
        <rFont val="Arial Narrow"/>
        <family val="2"/>
      </rPr>
      <t>2.</t>
    </r>
    <r>
      <rPr>
        <sz val="8"/>
        <rFont val="Arial Narrow"/>
        <family val="2"/>
      </rPr>
      <t xml:space="preserve"> </t>
    </r>
    <r>
      <rPr>
        <b/>
        <sz val="8"/>
        <color indexed="12"/>
        <rFont val="Arial Narrow"/>
        <family val="2"/>
      </rPr>
      <t>Na análise pós-financiamento</t>
    </r>
    <r>
      <rPr>
        <sz val="8"/>
        <rFont val="Arial Narrow"/>
        <family val="2"/>
      </rPr>
      <t xml:space="preserve">, considerando os </t>
    </r>
    <r>
      <rPr>
        <b/>
        <i/>
        <sz val="8"/>
        <rFont val="Arial Narrow"/>
        <family val="2"/>
      </rPr>
      <t>efeitos do capital alheio refletidos na taxa de utilização</t>
    </r>
    <r>
      <rPr>
        <sz val="8"/>
        <rFont val="Arial Narrow"/>
        <family val="2"/>
      </rPr>
      <t>,
    utiliza-se o</t>
    </r>
    <r>
      <rPr>
        <b/>
        <sz val="8"/>
        <color indexed="12"/>
        <rFont val="Arial Narrow"/>
        <family val="2"/>
      </rPr>
      <t xml:space="preserve"> wacc (cmpcp) = Rcp*CP /(CP+CA)+ Rca*(1-t)*CA/ (CP+CA)</t>
    </r>
    <r>
      <rPr>
        <sz val="8"/>
        <rFont val="Arial Narrow"/>
        <family val="2"/>
      </rPr>
      <t xml:space="preserve"> em que Rcp = Rf + Bp*(Rm-Rf).  </t>
    </r>
    <r>
      <rPr>
        <sz val="8"/>
        <color indexed="12"/>
        <rFont val="Arial Narrow"/>
        <family val="2"/>
      </rPr>
      <t>Bp = Bu*(1+(1-t)*(CA/CP)) com CA e CP do projeto</t>
    </r>
  </si>
  <si>
    <r>
      <t xml:space="preserve">3. </t>
    </r>
    <r>
      <rPr>
        <b/>
        <sz val="8"/>
        <color indexed="12"/>
        <rFont val="Arial Narrow"/>
        <family val="2"/>
      </rPr>
      <t>Na análise na  Ótica do Investidor (Free Cash Flow to Equity)</t>
    </r>
  </si>
  <si>
    <r>
      <t xml:space="preserve">    No método de avaliação pelo desconto de fluxos de caixa líquido do acionista (FCFE – do inglês Free Cashflow to Equity), o objetivo é avaliar directamente o património
    líquido da empresa.  </t>
    </r>
    <r>
      <rPr>
        <b/>
        <sz val="8"/>
        <color indexed="12"/>
        <rFont val="Arial Narrow"/>
        <family val="2"/>
      </rPr>
      <t xml:space="preserve"> 
    Na avaliação do projeto na ótica do Investidor ou do Capital Próprio</t>
    </r>
    <r>
      <rPr>
        <sz val="8"/>
        <rFont val="Arial Narrow"/>
        <family val="2"/>
      </rPr>
      <t xml:space="preserve">: 
    FCFEt = Result. Líquidot + Amortiz t - Investimento t (Cap Fixo e FMN) + Financiamento alheio t (CA) - Reembolsos Financiamento t. 
    em que a </t>
    </r>
    <r>
      <rPr>
        <b/>
        <sz val="8"/>
        <color indexed="12"/>
        <rFont val="Arial Narrow"/>
        <family val="2"/>
      </rPr>
      <t xml:space="preserve"> taxa de atualização  R = Rf + Bu*(Rm - Rf)</t>
    </r>
  </si>
  <si>
    <t>Em vigor no ano base</t>
  </si>
  <si>
    <t xml:space="preserve"> ' + 1. ou + 2. Por defeito    = 2.</t>
  </si>
  <si>
    <t>meses</t>
  </si>
  <si>
    <t>4 = trim; 1 = mensal</t>
  </si>
  <si>
    <r>
      <t xml:space="preserve">Prazo de pagamento de IVA </t>
    </r>
    <r>
      <rPr>
        <b/>
        <sz val="8"/>
        <color indexed="12"/>
        <rFont val="Arial Narrow"/>
        <family val="2"/>
      </rPr>
      <t xml:space="preserve"> (trim = 4; mensal =12)</t>
    </r>
  </si>
  <si>
    <t>Modelo Financeiro                                              do Plano de Negócios</t>
  </si>
  <si>
    <t>IAPMEI</t>
  </si>
  <si>
    <t>nome empresa/promotor
designação do projeto</t>
  </si>
  <si>
    <t>Data__/__/___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</si>
</sst>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.00_);[Red]\(&quot;$&quot;#,##0.00\)"/>
    <numFmt numFmtId="165" formatCode="[$-816]mmm/yy;@"/>
    <numFmt numFmtId="166" formatCode="0_ ;[Red]\-0\ "/>
    <numFmt numFmtId="167" formatCode="0.0%"/>
    <numFmt numFmtId="168" formatCode="#,##0_ ;[Red]\-#,##0\ "/>
    <numFmt numFmtId="169" formatCode="0.000"/>
    <numFmt numFmtId="170" formatCode="#,##0.0"/>
    <numFmt numFmtId="171" formatCode="#,##0.00_ ;[Red]\-#,##0.00\ "/>
    <numFmt numFmtId="172" formatCode="0.0"/>
    <numFmt numFmtId="173" formatCode="0.0_)"/>
    <numFmt numFmtId="174" formatCode="0.00_)"/>
    <numFmt numFmtId="175" formatCode="#,##0_ ;\-#,##0\ "/>
    <numFmt numFmtId="176" formatCode="0.000000"/>
    <numFmt numFmtId="177" formatCode="0.00000"/>
    <numFmt numFmtId="178" formatCode="0.0000"/>
    <numFmt numFmtId="179" formatCode="0.000%"/>
    <numFmt numFmtId="180" formatCode="0.00000000"/>
    <numFmt numFmtId="181" formatCode="0.0000000"/>
  </numFmts>
  <fonts count="98">
    <font>
      <sz val="10"/>
      <name val="Tahoma"/>
      <family val="2"/>
    </font>
    <font>
      <sz val="10"/>
      <name val="Arial"/>
      <family val="0"/>
    </font>
    <font>
      <sz val="8"/>
      <name val="Arial"/>
      <family val="2"/>
    </font>
    <font>
      <sz val="10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color indexed="9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sz val="8"/>
      <name val="Trebuchet MS"/>
      <family val="2"/>
    </font>
    <font>
      <b/>
      <sz val="8"/>
      <color indexed="18"/>
      <name val="Arial Narrow"/>
      <family val="2"/>
    </font>
    <font>
      <b/>
      <u val="single"/>
      <sz val="8"/>
      <name val="Arial Narrow"/>
      <family val="2"/>
    </font>
    <font>
      <b/>
      <i/>
      <sz val="8"/>
      <name val="Arial Narrow"/>
      <family val="2"/>
    </font>
    <font>
      <sz val="8"/>
      <color indexed="12"/>
      <name val="Arial Narrow"/>
      <family val="2"/>
    </font>
    <font>
      <u val="single"/>
      <sz val="8"/>
      <name val="Arial Narrow"/>
      <family val="2"/>
    </font>
    <font>
      <b/>
      <sz val="8"/>
      <color indexed="12"/>
      <name val="Arial Narrow"/>
      <family val="2"/>
    </font>
    <font>
      <b/>
      <i/>
      <u val="single"/>
      <sz val="8"/>
      <name val="Arial Narrow"/>
      <family val="2"/>
    </font>
    <font>
      <sz val="8"/>
      <name val="Tahoma"/>
      <family val="2"/>
    </font>
    <font>
      <b/>
      <sz val="8"/>
      <name val="Arial"/>
      <family val="2"/>
    </font>
    <font>
      <sz val="8"/>
      <color indexed="41"/>
      <name val="Arial Narrow"/>
      <family val="2"/>
    </font>
    <font>
      <sz val="8"/>
      <color indexed="61"/>
      <name val="Arial Narrow"/>
      <family val="2"/>
    </font>
    <font>
      <sz val="8"/>
      <color indexed="62"/>
      <name val="Arial Narrow"/>
      <family val="2"/>
    </font>
    <font>
      <sz val="10"/>
      <name val="ITC Zapf Dingbats"/>
      <family val="1"/>
    </font>
    <font>
      <sz val="10"/>
      <name val="Arial Narrow"/>
      <family val="2"/>
    </font>
    <font>
      <b/>
      <u val="single"/>
      <sz val="10"/>
      <name val="Arial Narrow"/>
      <family val="2"/>
    </font>
    <font>
      <sz val="8"/>
      <color indexed="23"/>
      <name val="Arial Narrow"/>
      <family val="2"/>
    </font>
    <font>
      <i/>
      <sz val="8"/>
      <name val="Arial Narrow"/>
      <family val="2"/>
    </font>
    <font>
      <i/>
      <sz val="12"/>
      <name val="Arial Narrow"/>
      <family val="2"/>
    </font>
    <font>
      <b/>
      <sz val="12"/>
      <color indexed="18"/>
      <name val="Arial Narrow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8"/>
      <color indexed="10"/>
      <name val="Arial Narrow"/>
      <family val="2"/>
    </font>
    <font>
      <sz val="8"/>
      <color indexed="22"/>
      <name val="Arial Narrow"/>
      <family val="2"/>
    </font>
    <font>
      <sz val="8"/>
      <color indexed="30"/>
      <name val="Arial Narrow"/>
      <family val="2"/>
    </font>
    <font>
      <b/>
      <sz val="8"/>
      <color indexed="10"/>
      <name val="Arial Narrow"/>
      <family val="2"/>
    </font>
    <font>
      <sz val="8"/>
      <color indexed="49"/>
      <name val="Arial Narrow"/>
      <family val="2"/>
    </font>
    <font>
      <b/>
      <sz val="9"/>
      <color indexed="10"/>
      <name val="Arial Narrow"/>
      <family val="2"/>
    </font>
    <font>
      <b/>
      <i/>
      <sz val="8"/>
      <color indexed="12"/>
      <name val="Arial Narrow"/>
      <family val="2"/>
    </font>
    <font>
      <b/>
      <sz val="10"/>
      <color indexed="12"/>
      <name val="Arial Narrow"/>
      <family val="2"/>
    </font>
    <font>
      <sz val="6"/>
      <color indexed="12"/>
      <name val="Arial Narrow"/>
      <family val="2"/>
    </font>
    <font>
      <i/>
      <u val="single"/>
      <sz val="8"/>
      <color indexed="12"/>
      <name val="Arial Narrow"/>
      <family val="2"/>
    </font>
    <font>
      <b/>
      <sz val="9"/>
      <color indexed="12"/>
      <name val="Arial Narrow"/>
      <family val="2"/>
    </font>
    <font>
      <i/>
      <sz val="11"/>
      <name val="Arial Narrow"/>
      <family val="2"/>
    </font>
    <font>
      <b/>
      <sz val="7"/>
      <color indexed="18"/>
      <name val="Arial Narrow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8"/>
      <color indexed="56"/>
      <name val="Arial Narrow"/>
      <family val="2"/>
    </font>
    <font>
      <sz val="8"/>
      <color indexed="56"/>
      <name val="Arial Narrow"/>
      <family val="2"/>
    </font>
    <font>
      <sz val="40"/>
      <color indexed="62"/>
      <name val="Arial Narrow"/>
      <family val="2"/>
    </font>
    <font>
      <sz val="22"/>
      <color indexed="62"/>
      <name val="Arial Narrow"/>
      <family val="2"/>
    </font>
    <font>
      <sz val="10"/>
      <color indexed="10"/>
      <name val="Arial Narrow"/>
      <family val="2"/>
    </font>
    <font>
      <b/>
      <i/>
      <sz val="22"/>
      <color indexed="62"/>
      <name val="Arial Narrow"/>
      <family val="2"/>
    </font>
    <font>
      <b/>
      <i/>
      <sz val="18"/>
      <color indexed="62"/>
      <name val="Arial Narrow"/>
      <family val="2"/>
    </font>
    <font>
      <sz val="9"/>
      <color indexed="10"/>
      <name val="Arial Narrow"/>
      <family val="2"/>
    </font>
    <font>
      <b/>
      <sz val="10"/>
      <color indexed="63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CC"/>
      <name val="Arial Narrow"/>
      <family val="2"/>
    </font>
    <font>
      <b/>
      <sz val="8"/>
      <color rgb="FF002060"/>
      <name val="Arial Narrow"/>
      <family val="2"/>
    </font>
    <font>
      <sz val="8"/>
      <color rgb="FF002060"/>
      <name val="Arial Narrow"/>
      <family val="2"/>
    </font>
    <font>
      <b/>
      <sz val="8"/>
      <color rgb="FF0000CC"/>
      <name val="Arial Narrow"/>
      <family val="2"/>
    </font>
    <font>
      <sz val="8"/>
      <color rgb="FFFF0000"/>
      <name val="Arial Narrow"/>
      <family val="2"/>
    </font>
    <font>
      <sz val="40"/>
      <color theme="3"/>
      <name val="Arial Narrow"/>
      <family val="2"/>
    </font>
    <font>
      <sz val="22"/>
      <color theme="3"/>
      <name val="Arial Narrow"/>
      <family val="2"/>
    </font>
    <font>
      <sz val="10"/>
      <color rgb="FFFF0000"/>
      <name val="Arial Narrow"/>
      <family val="2"/>
    </font>
    <font>
      <b/>
      <i/>
      <sz val="22"/>
      <color theme="3"/>
      <name val="Arial Narrow"/>
      <family val="2"/>
    </font>
    <font>
      <b/>
      <i/>
      <sz val="18"/>
      <color theme="3"/>
      <name val="Arial Narrow"/>
      <family val="2"/>
    </font>
    <font>
      <b/>
      <sz val="9"/>
      <color rgb="FFFF0000"/>
      <name val="Arial Narrow"/>
      <family val="2"/>
    </font>
    <font>
      <sz val="9"/>
      <color rgb="FFFF0000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double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double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55"/>
      </top>
      <bottom style="medium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5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medium">
        <color rgb="FFC00000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82" fillId="27" borderId="8" applyNumberFormat="0" applyAlignment="0" applyProtection="0"/>
    <xf numFmtId="9" fontId="0" fillId="0" borderId="0" applyFill="0" applyBorder="0" applyAlignment="0">
      <protection/>
    </xf>
    <xf numFmtId="9" fontId="1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572">
    <xf numFmtId="0" fontId="0" fillId="0" borderId="0" xfId="0" applyAlignment="1">
      <alignment/>
    </xf>
    <xf numFmtId="0" fontId="20" fillId="0" borderId="0" xfId="0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168" fontId="4" fillId="0" borderId="10" xfId="0" applyNumberFormat="1" applyFont="1" applyFill="1" applyBorder="1" applyAlignment="1" applyProtection="1">
      <alignment/>
      <protection locked="0"/>
    </xf>
    <xf numFmtId="0" fontId="5" fillId="33" borderId="11" xfId="0" applyFont="1" applyFill="1" applyBorder="1" applyAlignment="1" applyProtection="1">
      <alignment horizontal="left"/>
      <protection hidden="1"/>
    </xf>
    <xf numFmtId="0" fontId="4" fillId="0" borderId="0" xfId="0" applyFont="1" applyFill="1" applyAlignment="1" applyProtection="1">
      <alignment/>
      <protection hidden="1"/>
    </xf>
    <xf numFmtId="0" fontId="4" fillId="33" borderId="10" xfId="0" applyFont="1" applyFill="1" applyBorder="1" applyAlignment="1" applyProtection="1">
      <alignment/>
      <protection hidden="1"/>
    </xf>
    <xf numFmtId="3" fontId="13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/>
      <protection hidden="1"/>
    </xf>
    <xf numFmtId="0" fontId="24" fillId="0" borderId="0" xfId="57" applyFont="1" applyFill="1" applyBorder="1" applyProtection="1">
      <alignment/>
      <protection hidden="1"/>
    </xf>
    <xf numFmtId="0" fontId="4" fillId="0" borderId="0" xfId="57" applyFont="1" applyFill="1" applyProtection="1">
      <alignment/>
      <protection hidden="1"/>
    </xf>
    <xf numFmtId="0" fontId="1" fillId="34" borderId="0" xfId="57" applyFill="1" applyProtection="1">
      <alignment/>
      <protection hidden="1"/>
    </xf>
    <xf numFmtId="0" fontId="24" fillId="0" borderId="0" xfId="57" applyFont="1" applyFill="1" applyProtection="1">
      <alignment/>
      <protection hidden="1"/>
    </xf>
    <xf numFmtId="0" fontId="23" fillId="0" borderId="0" xfId="57" applyFont="1" applyFill="1" applyBorder="1" applyProtection="1">
      <alignment/>
      <protection hidden="1"/>
    </xf>
    <xf numFmtId="0" fontId="4" fillId="0" borderId="0" xfId="57" applyFont="1" applyFill="1" applyBorder="1" applyProtection="1">
      <alignment/>
      <protection hidden="1"/>
    </xf>
    <xf numFmtId="0" fontId="23" fillId="0" borderId="0" xfId="57" applyFont="1" applyFill="1" applyBorder="1" applyAlignment="1" applyProtection="1">
      <alignment vertical="center" wrapText="1"/>
      <protection hidden="1"/>
    </xf>
    <xf numFmtId="0" fontId="23" fillId="0" borderId="0" xfId="57" applyFont="1" applyFill="1" applyAlignment="1" applyProtection="1">
      <alignment vertical="center" wrapText="1"/>
      <protection hidden="1"/>
    </xf>
    <xf numFmtId="0" fontId="7" fillId="35" borderId="10" xfId="57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Alignment="1" applyProtection="1">
      <alignment/>
      <protection hidden="1"/>
    </xf>
    <xf numFmtId="0" fontId="4" fillId="34" borderId="0" xfId="0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 wrapText="1"/>
      <protection hidden="1"/>
    </xf>
    <xf numFmtId="9" fontId="4" fillId="34" borderId="0" xfId="0" applyNumberFormat="1" applyFont="1" applyFill="1" applyBorder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9" fontId="4" fillId="0" borderId="0" xfId="62" applyFont="1" applyFill="1" applyAlignment="1" applyProtection="1">
      <alignment/>
      <protection hidden="1"/>
    </xf>
    <xf numFmtId="2" fontId="4" fillId="0" borderId="0" xfId="62" applyNumberFormat="1" applyFont="1" applyFill="1" applyAlignment="1" applyProtection="1">
      <alignment/>
      <protection hidden="1"/>
    </xf>
    <xf numFmtId="0" fontId="4" fillId="0" borderId="0" xfId="0" applyFont="1" applyFill="1" applyAlignment="1" applyProtection="1">
      <alignment wrapText="1"/>
      <protection hidden="1"/>
    </xf>
    <xf numFmtId="2" fontId="4" fillId="0" borderId="0" xfId="62" applyNumberFormat="1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0" fontId="6" fillId="36" borderId="0" xfId="0" applyFont="1" applyFill="1" applyAlignment="1" applyProtection="1">
      <alignment horizontal="right"/>
      <protection hidden="1"/>
    </xf>
    <xf numFmtId="10" fontId="13" fillId="0" borderId="10" xfId="62" applyNumberFormat="1" applyFont="1" applyFill="1" applyBorder="1" applyAlignment="1" applyProtection="1">
      <alignment horizontal="center" vertical="center"/>
      <protection locked="0"/>
    </xf>
    <xf numFmtId="168" fontId="4" fillId="0" borderId="10" xfId="0" applyNumberFormat="1" applyFont="1" applyFill="1" applyBorder="1" applyAlignment="1" applyProtection="1">
      <alignment vertical="center"/>
      <protection locked="0"/>
    </xf>
    <xf numFmtId="10" fontId="13" fillId="0" borderId="10" xfId="62" applyNumberFormat="1" applyFont="1" applyFill="1" applyBorder="1" applyAlignment="1" applyProtection="1">
      <alignment horizontal="right" vertical="center"/>
      <protection locked="0"/>
    </xf>
    <xf numFmtId="168" fontId="4" fillId="0" borderId="12" xfId="0" applyNumberFormat="1" applyFont="1" applyFill="1" applyBorder="1" applyAlignment="1" applyProtection="1">
      <alignment vertical="center"/>
      <protection locked="0"/>
    </xf>
    <xf numFmtId="166" fontId="13" fillId="0" borderId="12" xfId="0" applyNumberFormat="1" applyFont="1" applyFill="1" applyBorder="1" applyAlignment="1" applyProtection="1">
      <alignment horizontal="center" vertical="center"/>
      <protection locked="0"/>
    </xf>
    <xf numFmtId="168" fontId="5" fillId="33" borderId="10" xfId="0" applyNumberFormat="1" applyFont="1" applyFill="1" applyBorder="1" applyAlignment="1" applyProtection="1">
      <alignment vertical="center"/>
      <protection/>
    </xf>
    <xf numFmtId="168" fontId="5" fillId="33" borderId="13" xfId="0" applyNumberFormat="1" applyFont="1" applyFill="1" applyBorder="1" applyAlignment="1" applyProtection="1">
      <alignment/>
      <protection/>
    </xf>
    <xf numFmtId="166" fontId="4" fillId="0" borderId="12" xfId="0" applyNumberFormat="1" applyFont="1" applyFill="1" applyBorder="1" applyAlignment="1" applyProtection="1">
      <alignment horizontal="center" vertical="center"/>
      <protection locked="0"/>
    </xf>
    <xf numFmtId="9" fontId="13" fillId="0" borderId="10" xfId="62" applyFont="1" applyFill="1" applyBorder="1" applyAlignment="1" applyProtection="1">
      <alignment horizontal="center"/>
      <protection locked="0"/>
    </xf>
    <xf numFmtId="166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Fill="1" applyBorder="1" applyAlignment="1" applyProtection="1">
      <alignment horizontal="right" vertical="center"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/>
      <protection locked="0"/>
    </xf>
    <xf numFmtId="168" fontId="31" fillId="0" borderId="10" xfId="58" applyNumberFormat="1" applyFont="1" applyFill="1" applyBorder="1" applyProtection="1">
      <alignment/>
      <protection locked="0"/>
    </xf>
    <xf numFmtId="9" fontId="4" fillId="0" borderId="0" xfId="62" applyFont="1" applyFill="1" applyBorder="1" applyAlignment="1" applyProtection="1">
      <alignment/>
      <protection hidden="1"/>
    </xf>
    <xf numFmtId="0" fontId="9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6" fillId="36" borderId="0" xfId="0" applyFont="1" applyFill="1" applyAlignment="1" applyProtection="1">
      <alignment/>
      <protection/>
    </xf>
    <xf numFmtId="0" fontId="3" fillId="36" borderId="0" xfId="0" applyFont="1" applyFill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10" fillId="0" borderId="0" xfId="0" applyFont="1" applyFill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10" fillId="33" borderId="15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33" borderId="11" xfId="0" applyFont="1" applyFill="1" applyBorder="1" applyAlignment="1" applyProtection="1">
      <alignment horizontal="left" indent="1"/>
      <protection/>
    </xf>
    <xf numFmtId="170" fontId="4" fillId="33" borderId="15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168" fontId="5" fillId="0" borderId="0" xfId="0" applyNumberFormat="1" applyFont="1" applyFill="1" applyBorder="1" applyAlignment="1" applyProtection="1">
      <alignment/>
      <protection/>
    </xf>
    <xf numFmtId="0" fontId="10" fillId="33" borderId="13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left"/>
      <protection/>
    </xf>
    <xf numFmtId="0" fontId="15" fillId="0" borderId="0" xfId="0" applyFont="1" applyFill="1" applyAlignment="1" applyProtection="1">
      <alignment/>
      <protection/>
    </xf>
    <xf numFmtId="170" fontId="5" fillId="0" borderId="0" xfId="0" applyNumberFormat="1" applyFont="1" applyFill="1" applyBorder="1" applyAlignment="1" applyProtection="1">
      <alignment vertical="center"/>
      <protection/>
    </xf>
    <xf numFmtId="168" fontId="5" fillId="0" borderId="0" xfId="0" applyNumberFormat="1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/>
      <protection/>
    </xf>
    <xf numFmtId="0" fontId="5" fillId="33" borderId="11" xfId="0" applyFont="1" applyFill="1" applyBorder="1" applyAlignment="1" applyProtection="1">
      <alignment horizontal="left"/>
      <protection/>
    </xf>
    <xf numFmtId="170" fontId="5" fillId="0" borderId="0" xfId="0" applyNumberFormat="1" applyFont="1" applyFill="1" applyBorder="1" applyAlignment="1" applyProtection="1">
      <alignment horizontal="left" vertical="center"/>
      <protection/>
    </xf>
    <xf numFmtId="170" fontId="5" fillId="0" borderId="0" xfId="0" applyNumberFormat="1" applyFont="1" applyFill="1" applyBorder="1" applyAlignment="1" applyProtection="1">
      <alignment horizontal="center" vertical="center"/>
      <protection/>
    </xf>
    <xf numFmtId="166" fontId="5" fillId="33" borderId="10" xfId="0" applyNumberFormat="1" applyFont="1" applyFill="1" applyBorder="1" applyAlignment="1" applyProtection="1">
      <alignment horizontal="center"/>
      <protection/>
    </xf>
    <xf numFmtId="168" fontId="5" fillId="33" borderId="10" xfId="0" applyNumberFormat="1" applyFont="1" applyFill="1" applyBorder="1" applyAlignment="1" applyProtection="1">
      <alignment/>
      <protection/>
    </xf>
    <xf numFmtId="0" fontId="10" fillId="33" borderId="13" xfId="0" applyFont="1" applyFill="1" applyBorder="1" applyAlignment="1" applyProtection="1">
      <alignment horizontal="left"/>
      <protection/>
    </xf>
    <xf numFmtId="9" fontId="13" fillId="0" borderId="0" xfId="62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0" fontId="10" fillId="33" borderId="16" xfId="0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 horizontal="center"/>
      <protection/>
    </xf>
    <xf numFmtId="168" fontId="5" fillId="0" borderId="10" xfId="0" applyNumberFormat="1" applyFont="1" applyFill="1" applyBorder="1" applyAlignment="1" applyProtection="1">
      <alignment/>
      <protection locked="0"/>
    </xf>
    <xf numFmtId="9" fontId="13" fillId="33" borderId="13" xfId="62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left"/>
      <protection/>
    </xf>
    <xf numFmtId="10" fontId="13" fillId="33" borderId="10" xfId="62" applyNumberFormat="1" applyFont="1" applyFill="1" applyBorder="1" applyAlignment="1" applyProtection="1">
      <alignment horizontal="right" vertical="center"/>
      <protection/>
    </xf>
    <xf numFmtId="168" fontId="4" fillId="33" borderId="13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 indent="1"/>
      <protection/>
    </xf>
    <xf numFmtId="0" fontId="25" fillId="0" borderId="0" xfId="0" applyFont="1" applyFill="1" applyAlignment="1" applyProtection="1">
      <alignment horizontal="left"/>
      <protection/>
    </xf>
    <xf numFmtId="0" fontId="25" fillId="34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6" fillId="36" borderId="0" xfId="0" applyFont="1" applyFill="1" applyAlignment="1" applyProtection="1">
      <alignment horizontal="left"/>
      <protection/>
    </xf>
    <xf numFmtId="0" fontId="3" fillId="36" borderId="0" xfId="0" applyFont="1" applyFill="1" applyAlignment="1" applyProtection="1">
      <alignment/>
      <protection/>
    </xf>
    <xf numFmtId="0" fontId="5" fillId="33" borderId="17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9" fontId="13" fillId="33" borderId="10" xfId="62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/>
      <protection/>
    </xf>
    <xf numFmtId="38" fontId="4" fillId="33" borderId="10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38" fontId="11" fillId="0" borderId="0" xfId="0" applyNumberFormat="1" applyFont="1" applyFill="1" applyAlignment="1" applyProtection="1">
      <alignment/>
      <protection/>
    </xf>
    <xf numFmtId="38" fontId="4" fillId="0" borderId="0" xfId="0" applyNumberFormat="1" applyFont="1" applyFill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/>
    </xf>
    <xf numFmtId="166" fontId="5" fillId="33" borderId="13" xfId="0" applyNumberFormat="1" applyFont="1" applyFill="1" applyBorder="1" applyAlignment="1" applyProtection="1">
      <alignment horizontal="center" vertical="center"/>
      <protection/>
    </xf>
    <xf numFmtId="3" fontId="4" fillId="33" borderId="10" xfId="0" applyNumberFormat="1" applyFont="1" applyFill="1" applyBorder="1" applyAlignment="1" applyProtection="1">
      <alignment horizontal="right" vertical="center"/>
      <protection/>
    </xf>
    <xf numFmtId="0" fontId="5" fillId="33" borderId="18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38" fontId="4" fillId="0" borderId="0" xfId="0" applyNumberFormat="1" applyFont="1" applyFill="1" applyBorder="1" applyAlignment="1" applyProtection="1">
      <alignment horizontal="left"/>
      <protection/>
    </xf>
    <xf numFmtId="38" fontId="4" fillId="0" borderId="0" xfId="0" applyNumberFormat="1" applyFont="1" applyFill="1" applyBorder="1" applyAlignment="1" applyProtection="1">
      <alignment/>
      <protection/>
    </xf>
    <xf numFmtId="38" fontId="13" fillId="0" borderId="0" xfId="0" applyNumberFormat="1" applyFont="1" applyFill="1" applyBorder="1" applyAlignment="1" applyProtection="1">
      <alignment/>
      <protection/>
    </xf>
    <xf numFmtId="168" fontId="4" fillId="0" borderId="0" xfId="0" applyNumberFormat="1" applyFont="1" applyFill="1" applyBorder="1" applyAlignment="1" applyProtection="1">
      <alignment vertical="center"/>
      <protection/>
    </xf>
    <xf numFmtId="168" fontId="4" fillId="33" borderId="10" xfId="0" applyNumberFormat="1" applyFont="1" applyFill="1" applyBorder="1" applyAlignment="1" applyProtection="1">
      <alignment horizontal="right" vertical="center"/>
      <protection/>
    </xf>
    <xf numFmtId="168" fontId="5" fillId="33" borderId="13" xfId="0" applyNumberFormat="1" applyFont="1" applyFill="1" applyBorder="1" applyAlignment="1" applyProtection="1">
      <alignment horizontal="right" vertic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68" fontId="4" fillId="0" borderId="0" xfId="0" applyNumberFormat="1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 horizontal="left"/>
      <protection/>
    </xf>
    <xf numFmtId="0" fontId="4" fillId="33" borderId="15" xfId="0" applyFont="1" applyFill="1" applyBorder="1" applyAlignment="1" applyProtection="1">
      <alignment horizontal="left" indent="1"/>
      <protection/>
    </xf>
    <xf numFmtId="10" fontId="4" fillId="33" borderId="10" xfId="62" applyNumberFormat="1" applyFont="1" applyFill="1" applyBorder="1" applyAlignment="1" applyProtection="1">
      <alignment horizontal="center"/>
      <protection/>
    </xf>
    <xf numFmtId="168" fontId="4" fillId="33" borderId="10" xfId="0" applyNumberFormat="1" applyFont="1" applyFill="1" applyBorder="1" applyAlignment="1" applyProtection="1">
      <alignment/>
      <protection/>
    </xf>
    <xf numFmtId="38" fontId="4" fillId="33" borderId="11" xfId="0" applyNumberFormat="1" applyFont="1" applyFill="1" applyBorder="1" applyAlignment="1" applyProtection="1">
      <alignment/>
      <protection/>
    </xf>
    <xf numFmtId="38" fontId="4" fillId="33" borderId="15" xfId="0" applyNumberFormat="1" applyFont="1" applyFill="1" applyBorder="1" applyAlignment="1" applyProtection="1">
      <alignment/>
      <protection/>
    </xf>
    <xf numFmtId="168" fontId="4" fillId="33" borderId="15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/>
      <protection/>
    </xf>
    <xf numFmtId="9" fontId="4" fillId="33" borderId="0" xfId="62" applyFont="1" applyFill="1" applyBorder="1" applyAlignment="1" applyProtection="1">
      <alignment horizontal="left"/>
      <protection/>
    </xf>
    <xf numFmtId="0" fontId="4" fillId="33" borderId="14" xfId="0" applyFont="1" applyFill="1" applyBorder="1" applyAlignment="1" applyProtection="1">
      <alignment/>
      <protection/>
    </xf>
    <xf numFmtId="9" fontId="4" fillId="33" borderId="15" xfId="62" applyFont="1" applyFill="1" applyBorder="1" applyAlignment="1" applyProtection="1">
      <alignment horizontal="left"/>
      <protection/>
    </xf>
    <xf numFmtId="38" fontId="4" fillId="0" borderId="0" xfId="0" applyNumberFormat="1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 horizontal="left" indent="1"/>
      <protection/>
    </xf>
    <xf numFmtId="9" fontId="4" fillId="33" borderId="19" xfId="62" applyFont="1" applyFill="1" applyBorder="1" applyAlignment="1" applyProtection="1">
      <alignment horizontal="left"/>
      <protection/>
    </xf>
    <xf numFmtId="38" fontId="5" fillId="0" borderId="0" xfId="0" applyNumberFormat="1" applyFont="1" applyFill="1" applyBorder="1" applyAlignment="1" applyProtection="1">
      <alignment/>
      <protection/>
    </xf>
    <xf numFmtId="9" fontId="4" fillId="34" borderId="0" xfId="62" applyFont="1" applyFill="1" applyBorder="1" applyAlignment="1" applyProtection="1">
      <alignment horizontal="left"/>
      <protection/>
    </xf>
    <xf numFmtId="168" fontId="4" fillId="34" borderId="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left" indent="1"/>
      <protection/>
    </xf>
    <xf numFmtId="166" fontId="4" fillId="33" borderId="12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/>
      <protection/>
    </xf>
    <xf numFmtId="0" fontId="6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/>
    </xf>
    <xf numFmtId="38" fontId="4" fillId="33" borderId="17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 horizontal="center" vertical="center"/>
      <protection/>
    </xf>
    <xf numFmtId="3" fontId="5" fillId="33" borderId="10" xfId="0" applyNumberFormat="1" applyFont="1" applyFill="1" applyBorder="1" applyAlignment="1" applyProtection="1">
      <alignment horizontal="right" vertical="center"/>
      <protection/>
    </xf>
    <xf numFmtId="0" fontId="5" fillId="33" borderId="17" xfId="0" applyFont="1" applyFill="1" applyBorder="1" applyAlignment="1" applyProtection="1">
      <alignment/>
      <protection/>
    </xf>
    <xf numFmtId="3" fontId="4" fillId="33" borderId="10" xfId="0" applyNumberFormat="1" applyFont="1" applyFill="1" applyBorder="1" applyAlignment="1" applyProtection="1">
      <alignment horizontal="center"/>
      <protection/>
    </xf>
    <xf numFmtId="3" fontId="4" fillId="33" borderId="10" xfId="0" applyNumberFormat="1" applyFont="1" applyFill="1" applyBorder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left" indent="1"/>
      <protection/>
    </xf>
    <xf numFmtId="3" fontId="4" fillId="0" borderId="20" xfId="0" applyNumberFormat="1" applyFont="1" applyFill="1" applyBorder="1" applyAlignment="1" applyProtection="1">
      <alignment horizontal="center"/>
      <protection/>
    </xf>
    <xf numFmtId="3" fontId="4" fillId="0" borderId="20" xfId="0" applyNumberFormat="1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horizontal="left"/>
      <protection/>
    </xf>
    <xf numFmtId="0" fontId="4" fillId="33" borderId="21" xfId="0" applyFont="1" applyFill="1" applyBorder="1" applyAlignment="1" applyProtection="1">
      <alignment horizontal="left" indent="2"/>
      <protection/>
    </xf>
    <xf numFmtId="0" fontId="5" fillId="0" borderId="22" xfId="0" applyFont="1" applyFill="1" applyBorder="1" applyAlignment="1" applyProtection="1">
      <alignment horizontal="left"/>
      <protection/>
    </xf>
    <xf numFmtId="0" fontId="4" fillId="0" borderId="20" xfId="0" applyFont="1" applyFill="1" applyBorder="1" applyAlignment="1" applyProtection="1">
      <alignment horizontal="left" indent="2"/>
      <protection/>
    </xf>
    <xf numFmtId="0" fontId="26" fillId="0" borderId="0" xfId="0" applyFont="1" applyFill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34" borderId="0" xfId="0" applyNumberFormat="1" applyFont="1" applyFill="1" applyAlignment="1" applyProtection="1">
      <alignment/>
      <protection/>
    </xf>
    <xf numFmtId="3" fontId="4" fillId="34" borderId="0" xfId="0" applyNumberFormat="1" applyFont="1" applyFill="1" applyBorder="1" applyAlignment="1" applyProtection="1">
      <alignment/>
      <protection/>
    </xf>
    <xf numFmtId="0" fontId="10" fillId="0" borderId="0" xfId="58" applyFont="1" applyFill="1" applyBorder="1" applyAlignment="1" applyProtection="1">
      <alignment horizontal="center"/>
      <protection/>
    </xf>
    <xf numFmtId="0" fontId="4" fillId="34" borderId="0" xfId="58" applyFont="1" applyFill="1" applyProtection="1">
      <alignment/>
      <protection/>
    </xf>
    <xf numFmtId="0" fontId="5" fillId="0" borderId="20" xfId="59" applyFont="1" applyFill="1" applyBorder="1" applyAlignment="1" applyProtection="1">
      <alignment horizontal="center" vertical="center"/>
      <protection/>
    </xf>
    <xf numFmtId="0" fontId="5" fillId="0" borderId="0" xfId="59" applyFont="1" applyFill="1" applyBorder="1" applyAlignment="1" applyProtection="1">
      <alignment horizontal="center" vertical="center"/>
      <protection/>
    </xf>
    <xf numFmtId="0" fontId="5" fillId="33" borderId="10" xfId="58" applyFont="1" applyFill="1" applyBorder="1" applyAlignment="1" applyProtection="1">
      <alignment horizontal="center"/>
      <protection/>
    </xf>
    <xf numFmtId="0" fontId="5" fillId="33" borderId="11" xfId="58" applyFont="1" applyFill="1" applyBorder="1" applyProtection="1">
      <alignment/>
      <protection/>
    </xf>
    <xf numFmtId="0" fontId="4" fillId="33" borderId="15" xfId="58" applyFont="1" applyFill="1" applyBorder="1" applyProtection="1">
      <alignment/>
      <protection/>
    </xf>
    <xf numFmtId="0" fontId="4" fillId="33" borderId="11" xfId="58" applyFont="1" applyFill="1" applyBorder="1" applyProtection="1">
      <alignment/>
      <protection/>
    </xf>
    <xf numFmtId="3" fontId="13" fillId="33" borderId="10" xfId="58" applyNumberFormat="1" applyFont="1" applyFill="1" applyBorder="1" applyProtection="1">
      <alignment/>
      <protection/>
    </xf>
    <xf numFmtId="3" fontId="5" fillId="33" borderId="10" xfId="58" applyNumberFormat="1" applyFont="1" applyFill="1" applyBorder="1" applyAlignment="1" applyProtection="1">
      <alignment/>
      <protection/>
    </xf>
    <xf numFmtId="3" fontId="5" fillId="33" borderId="13" xfId="58" applyNumberFormat="1" applyFont="1" applyFill="1" applyBorder="1" applyAlignment="1" applyProtection="1">
      <alignment horizontal="right"/>
      <protection/>
    </xf>
    <xf numFmtId="168" fontId="5" fillId="0" borderId="0" xfId="58" applyNumberFormat="1" applyFont="1" applyFill="1" applyBorder="1" applyAlignment="1" applyProtection="1">
      <alignment horizontal="left" vertical="center"/>
      <protection/>
    </xf>
    <xf numFmtId="3" fontId="5" fillId="0" borderId="0" xfId="58" applyNumberFormat="1" applyFont="1" applyFill="1" applyBorder="1" applyAlignment="1" applyProtection="1">
      <alignment horizontal="right"/>
      <protection/>
    </xf>
    <xf numFmtId="168" fontId="5" fillId="33" borderId="16" xfId="58" applyNumberFormat="1" applyFont="1" applyFill="1" applyBorder="1" applyAlignment="1" applyProtection="1">
      <alignment vertical="center"/>
      <protection/>
    </xf>
    <xf numFmtId="0" fontId="12" fillId="0" borderId="0" xfId="58" applyFont="1" applyFill="1" applyBorder="1" applyProtection="1">
      <alignment/>
      <protection/>
    </xf>
    <xf numFmtId="0" fontId="4" fillId="0" borderId="0" xfId="58" applyFont="1" applyFill="1" applyBorder="1" applyProtection="1">
      <alignment/>
      <protection/>
    </xf>
    <xf numFmtId="168" fontId="4" fillId="0" borderId="0" xfId="58" applyNumberFormat="1" applyFont="1" applyFill="1" applyProtection="1">
      <alignment/>
      <protection/>
    </xf>
    <xf numFmtId="3" fontId="31" fillId="33" borderId="10" xfId="58" applyNumberFormat="1" applyFont="1" applyFill="1" applyBorder="1" applyProtection="1">
      <alignment/>
      <protection/>
    </xf>
    <xf numFmtId="0" fontId="10" fillId="33" borderId="11" xfId="58" applyFont="1" applyFill="1" applyBorder="1" applyAlignment="1" applyProtection="1">
      <alignment horizontal="center"/>
      <protection/>
    </xf>
    <xf numFmtId="0" fontId="10" fillId="33" borderId="15" xfId="58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fill"/>
      <protection/>
    </xf>
    <xf numFmtId="167" fontId="4" fillId="0" borderId="0" xfId="0" applyNumberFormat="1" applyFont="1" applyFill="1" applyAlignment="1" applyProtection="1">
      <alignment/>
      <protection/>
    </xf>
    <xf numFmtId="170" fontId="4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3" fontId="4" fillId="33" borderId="12" xfId="0" applyNumberFormat="1" applyFont="1" applyFill="1" applyBorder="1" applyAlignment="1" applyProtection="1">
      <alignment/>
      <protection/>
    </xf>
    <xf numFmtId="9" fontId="4" fillId="33" borderId="23" xfId="62" applyFont="1" applyFill="1" applyBorder="1" applyAlignment="1" applyProtection="1">
      <alignment horizontal="right" vertical="center"/>
      <protection/>
    </xf>
    <xf numFmtId="9" fontId="4" fillId="33" borderId="10" xfId="62" applyFont="1" applyFill="1" applyBorder="1" applyAlignment="1" applyProtection="1">
      <alignment horizontal="right" vertical="center"/>
      <protection/>
    </xf>
    <xf numFmtId="0" fontId="4" fillId="33" borderId="23" xfId="0" applyFont="1" applyFill="1" applyBorder="1" applyAlignment="1" applyProtection="1">
      <alignment/>
      <protection/>
    </xf>
    <xf numFmtId="3" fontId="4" fillId="33" borderId="15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3" fontId="4" fillId="33" borderId="14" xfId="0" applyNumberFormat="1" applyFont="1" applyFill="1" applyBorder="1" applyAlignment="1" applyProtection="1">
      <alignment/>
      <protection/>
    </xf>
    <xf numFmtId="3" fontId="4" fillId="33" borderId="19" xfId="0" applyNumberFormat="1" applyFont="1" applyFill="1" applyBorder="1" applyAlignment="1" applyProtection="1">
      <alignment/>
      <protection/>
    </xf>
    <xf numFmtId="9" fontId="4" fillId="33" borderId="24" xfId="62" applyFont="1" applyFill="1" applyBorder="1" applyAlignment="1" applyProtection="1">
      <alignment horizontal="right" vertical="center"/>
      <protection/>
    </xf>
    <xf numFmtId="9" fontId="4" fillId="33" borderId="0" xfId="62" applyFont="1" applyFill="1" applyBorder="1" applyAlignment="1" applyProtection="1">
      <alignment horizontal="right" vertical="center"/>
      <protection/>
    </xf>
    <xf numFmtId="0" fontId="4" fillId="33" borderId="24" xfId="0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4" fillId="33" borderId="18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165" fontId="4" fillId="0" borderId="0" xfId="0" applyNumberFormat="1" applyFont="1" applyFill="1" applyBorder="1" applyAlignment="1" applyProtection="1">
      <alignment horizontal="center" vertical="center"/>
      <protection/>
    </xf>
    <xf numFmtId="168" fontId="4" fillId="33" borderId="10" xfId="0" applyNumberFormat="1" applyFont="1" applyFill="1" applyBorder="1" applyAlignment="1" applyProtection="1">
      <alignment/>
      <protection/>
    </xf>
    <xf numFmtId="0" fontId="5" fillId="33" borderId="21" xfId="0" applyFont="1" applyFill="1" applyBorder="1" applyAlignment="1" applyProtection="1">
      <alignment horizontal="left"/>
      <protection/>
    </xf>
    <xf numFmtId="3" fontId="8" fillId="0" borderId="0" xfId="62" applyNumberFormat="1" applyFont="1" applyFill="1" applyBorder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17" fillId="34" borderId="0" xfId="0" applyFont="1" applyFill="1" applyAlignment="1" applyProtection="1">
      <alignment/>
      <protection/>
    </xf>
    <xf numFmtId="0" fontId="4" fillId="33" borderId="22" xfId="0" applyFont="1" applyFill="1" applyBorder="1" applyAlignment="1" applyProtection="1">
      <alignment horizontal="left" indent="1"/>
      <protection/>
    </xf>
    <xf numFmtId="38" fontId="4" fillId="33" borderId="15" xfId="44" applyNumberFormat="1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 horizontal="left" indent="2"/>
      <protection/>
    </xf>
    <xf numFmtId="3" fontId="5" fillId="33" borderId="10" xfId="0" applyNumberFormat="1" applyFont="1" applyFill="1" applyBorder="1" applyAlignment="1" applyProtection="1">
      <alignment horizontal="center"/>
      <protection/>
    </xf>
    <xf numFmtId="38" fontId="4" fillId="33" borderId="25" xfId="44" applyNumberFormat="1" applyFont="1" applyFill="1" applyBorder="1" applyAlignment="1" applyProtection="1">
      <alignment/>
      <protection/>
    </xf>
    <xf numFmtId="0" fontId="17" fillId="33" borderId="0" xfId="0" applyFont="1" applyFill="1" applyAlignment="1" applyProtection="1">
      <alignment/>
      <protection/>
    </xf>
    <xf numFmtId="0" fontId="5" fillId="33" borderId="26" xfId="0" applyFont="1" applyFill="1" applyBorder="1" applyAlignment="1" applyProtection="1">
      <alignment horizontal="left" indent="1"/>
      <protection/>
    </xf>
    <xf numFmtId="0" fontId="4" fillId="0" borderId="27" xfId="0" applyFont="1" applyFill="1" applyBorder="1" applyAlignment="1" applyProtection="1">
      <alignment/>
      <protection/>
    </xf>
    <xf numFmtId="38" fontId="4" fillId="0" borderId="0" xfId="44" applyNumberFormat="1" applyFont="1" applyFill="1" applyBorder="1" applyAlignment="1" applyProtection="1">
      <alignment horizontal="center"/>
      <protection/>
    </xf>
    <xf numFmtId="168" fontId="4" fillId="0" borderId="0" xfId="0" applyNumberFormat="1" applyFont="1" applyFill="1" applyBorder="1" applyAlignment="1" applyProtection="1">
      <alignment/>
      <protection/>
    </xf>
    <xf numFmtId="38" fontId="4" fillId="34" borderId="0" xfId="44" applyNumberFormat="1" applyFont="1" applyFill="1" applyBorder="1" applyAlignment="1" applyProtection="1">
      <alignment horizontal="center"/>
      <protection/>
    </xf>
    <xf numFmtId="168" fontId="4" fillId="34" borderId="0" xfId="0" applyNumberFormat="1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38" fontId="4" fillId="34" borderId="0" xfId="44" applyNumberFormat="1" applyFont="1" applyFill="1" applyBorder="1" applyAlignment="1" applyProtection="1">
      <alignment/>
      <protection/>
    </xf>
    <xf numFmtId="168" fontId="5" fillId="34" borderId="0" xfId="0" applyNumberFormat="1" applyFont="1" applyFill="1" applyBorder="1" applyAlignment="1" applyProtection="1">
      <alignment/>
      <protection/>
    </xf>
    <xf numFmtId="168" fontId="18" fillId="34" borderId="0" xfId="0" applyNumberFormat="1" applyFont="1" applyFill="1" applyBorder="1" applyAlignment="1" applyProtection="1">
      <alignment/>
      <protection/>
    </xf>
    <xf numFmtId="0" fontId="4" fillId="34" borderId="0" xfId="0" applyFont="1" applyFill="1" applyAlignment="1" applyProtection="1">
      <alignment horizontal="left" indent="1"/>
      <protection/>
    </xf>
    <xf numFmtId="38" fontId="4" fillId="34" borderId="0" xfId="0" applyNumberFormat="1" applyFont="1" applyFill="1" applyBorder="1" applyAlignment="1" applyProtection="1">
      <alignment/>
      <protection/>
    </xf>
    <xf numFmtId="38" fontId="4" fillId="34" borderId="0" xfId="0" applyNumberFormat="1" applyFont="1" applyFill="1" applyBorder="1" applyAlignment="1" applyProtection="1">
      <alignment/>
      <protection/>
    </xf>
    <xf numFmtId="0" fontId="17" fillId="34" borderId="0" xfId="0" applyFont="1" applyFill="1" applyBorder="1" applyAlignment="1" applyProtection="1">
      <alignment/>
      <protection/>
    </xf>
    <xf numFmtId="3" fontId="4" fillId="33" borderId="10" xfId="62" applyNumberFormat="1" applyFont="1" applyFill="1" applyBorder="1" applyAlignment="1" applyProtection="1">
      <alignment horizontal="right" vertical="center"/>
      <protection/>
    </xf>
    <xf numFmtId="3" fontId="4" fillId="33" borderId="28" xfId="62" applyNumberFormat="1" applyFont="1" applyFill="1" applyBorder="1" applyAlignment="1" applyProtection="1">
      <alignment horizontal="right" vertical="center"/>
      <protection/>
    </xf>
    <xf numFmtId="3" fontId="4" fillId="33" borderId="29" xfId="62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/>
      <protection/>
    </xf>
    <xf numFmtId="0" fontId="7" fillId="36" borderId="0" xfId="0" applyFont="1" applyFill="1" applyBorder="1" applyAlignment="1" applyProtection="1">
      <alignment/>
      <protection/>
    </xf>
    <xf numFmtId="0" fontId="8" fillId="36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8" fillId="34" borderId="0" xfId="0" applyFont="1" applyFill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 horizontal="right" vertical="center"/>
      <protection/>
    </xf>
    <xf numFmtId="3" fontId="5" fillId="33" borderId="13" xfId="0" applyNumberFormat="1" applyFont="1" applyFill="1" applyBorder="1" applyAlignment="1" applyProtection="1">
      <alignment/>
      <protection/>
    </xf>
    <xf numFmtId="38" fontId="4" fillId="0" borderId="0" xfId="0" applyNumberFormat="1" applyFont="1" applyFill="1" applyAlignment="1" applyProtection="1">
      <alignment/>
      <protection/>
    </xf>
    <xf numFmtId="3" fontId="4" fillId="33" borderId="10" xfId="0" applyNumberFormat="1" applyFont="1" applyFill="1" applyBorder="1" applyAlignment="1" applyProtection="1">
      <alignment horizontal="right"/>
      <protection/>
    </xf>
    <xf numFmtId="0" fontId="32" fillId="34" borderId="0" xfId="0" applyFont="1" applyFill="1" applyAlignment="1" applyProtection="1">
      <alignment/>
      <protection/>
    </xf>
    <xf numFmtId="168" fontId="32" fillId="34" borderId="0" xfId="0" applyNumberFormat="1" applyFont="1" applyFill="1" applyAlignment="1" applyProtection="1">
      <alignment/>
      <protection/>
    </xf>
    <xf numFmtId="175" fontId="32" fillId="34" borderId="0" xfId="0" applyNumberFormat="1" applyFont="1" applyFill="1" applyAlignment="1" applyProtection="1">
      <alignment/>
      <protection/>
    </xf>
    <xf numFmtId="3" fontId="32" fillId="34" borderId="0" xfId="0" applyNumberFormat="1" applyFont="1" applyFill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40" fontId="4" fillId="0" borderId="0" xfId="42" applyNumberFormat="1" applyFont="1" applyFill="1" applyAlignment="1" applyProtection="1">
      <alignment/>
      <protection/>
    </xf>
    <xf numFmtId="3" fontId="5" fillId="33" borderId="10" xfId="62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/>
      <protection/>
    </xf>
    <xf numFmtId="3" fontId="5" fillId="0" borderId="0" xfId="62" applyNumberFormat="1" applyFont="1" applyFill="1" applyBorder="1" applyAlignment="1" applyProtection="1">
      <alignment horizontal="right" vertical="center"/>
      <protection/>
    </xf>
    <xf numFmtId="0" fontId="4" fillId="33" borderId="15" xfId="0" applyFont="1" applyFill="1" applyBorder="1" applyAlignment="1" applyProtection="1">
      <alignment vertical="center" wrapText="1"/>
      <protection/>
    </xf>
    <xf numFmtId="10" fontId="4" fillId="33" borderId="10" xfId="0" applyNumberFormat="1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3" fontId="4" fillId="33" borderId="10" xfId="0" applyNumberFormat="1" applyFont="1" applyFill="1" applyBorder="1" applyAlignment="1" applyProtection="1">
      <alignment vertical="center" wrapText="1"/>
      <protection/>
    </xf>
    <xf numFmtId="169" fontId="4" fillId="33" borderId="1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40" fontId="21" fillId="0" borderId="0" xfId="42" applyNumberFormat="1" applyFont="1" applyFill="1" applyAlignment="1" applyProtection="1">
      <alignment/>
      <protection/>
    </xf>
    <xf numFmtId="40" fontId="21" fillId="0" borderId="0" xfId="42" applyNumberFormat="1" applyFont="1" applyFill="1" applyBorder="1" applyAlignment="1" applyProtection="1">
      <alignment/>
      <protection/>
    </xf>
    <xf numFmtId="40" fontId="4" fillId="0" borderId="0" xfId="42" applyNumberFormat="1" applyFont="1" applyFill="1" applyBorder="1" applyAlignment="1" applyProtection="1">
      <alignment horizontal="right"/>
      <protection/>
    </xf>
    <xf numFmtId="40" fontId="21" fillId="0" borderId="0" xfId="42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/>
      <protection/>
    </xf>
    <xf numFmtId="10" fontId="5" fillId="33" borderId="10" xfId="62" applyNumberFormat="1" applyFont="1" applyFill="1" applyBorder="1" applyAlignment="1" applyProtection="1">
      <alignment horizontal="right" vertical="center"/>
      <protection/>
    </xf>
    <xf numFmtId="40" fontId="4" fillId="0" borderId="0" xfId="42" applyNumberFormat="1" applyFont="1" applyFill="1" applyBorder="1" applyAlignment="1" applyProtection="1">
      <alignment horizontal="left"/>
      <protection/>
    </xf>
    <xf numFmtId="3" fontId="5" fillId="33" borderId="10" xfId="62" applyNumberFormat="1" applyFont="1" applyFill="1" applyBorder="1" applyAlignment="1" applyProtection="1">
      <alignment horizontal="left" vertical="center"/>
      <protection/>
    </xf>
    <xf numFmtId="10" fontId="4" fillId="0" borderId="0" xfId="0" applyNumberFormat="1" applyFont="1" applyFill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vertical="center" wrapText="1"/>
      <protection/>
    </xf>
    <xf numFmtId="169" fontId="4" fillId="0" borderId="0" xfId="0" applyNumberFormat="1" applyFont="1" applyFill="1" applyAlignment="1" applyProtection="1">
      <alignment/>
      <protection/>
    </xf>
    <xf numFmtId="40" fontId="4" fillId="34" borderId="0" xfId="42" applyNumberFormat="1" applyFont="1" applyFill="1" applyAlignment="1" applyProtection="1">
      <alignment/>
      <protection/>
    </xf>
    <xf numFmtId="40" fontId="4" fillId="34" borderId="0" xfId="42" applyNumberFormat="1" applyFont="1" applyFill="1" applyBorder="1" applyAlignment="1" applyProtection="1">
      <alignment/>
      <protection/>
    </xf>
    <xf numFmtId="0" fontId="3" fillId="36" borderId="0" xfId="0" applyFont="1" applyFill="1" applyAlignment="1" applyProtection="1">
      <alignment horizontal="right"/>
      <protection locked="0"/>
    </xf>
    <xf numFmtId="168" fontId="31" fillId="34" borderId="0" xfId="0" applyNumberFormat="1" applyFont="1" applyFill="1" applyAlignment="1" applyProtection="1">
      <alignment/>
      <protection/>
    </xf>
    <xf numFmtId="168" fontId="4" fillId="0" borderId="15" xfId="0" applyNumberFormat="1" applyFont="1" applyFill="1" applyBorder="1" applyAlignment="1" applyProtection="1">
      <alignment vertical="center"/>
      <protection locked="0"/>
    </xf>
    <xf numFmtId="168" fontId="5" fillId="37" borderId="10" xfId="0" applyNumberFormat="1" applyFont="1" applyFill="1" applyBorder="1" applyAlignment="1" applyProtection="1">
      <alignment vertical="center"/>
      <protection locked="0"/>
    </xf>
    <xf numFmtId="168" fontId="13" fillId="37" borderId="10" xfId="0" applyNumberFormat="1" applyFont="1" applyFill="1" applyBorder="1" applyAlignment="1" applyProtection="1">
      <alignment vertical="center"/>
      <protection locked="0"/>
    </xf>
    <xf numFmtId="168" fontId="4" fillId="37" borderId="10" xfId="0" applyNumberFormat="1" applyFont="1" applyFill="1" applyBorder="1" applyAlignment="1" applyProtection="1">
      <alignment vertical="center"/>
      <protection locked="0"/>
    </xf>
    <xf numFmtId="9" fontId="13" fillId="37" borderId="10" xfId="62" applyFont="1" applyFill="1" applyBorder="1" applyAlignment="1" applyProtection="1">
      <alignment vertical="center"/>
      <protection locked="0"/>
    </xf>
    <xf numFmtId="10" fontId="13" fillId="37" borderId="10" xfId="62" applyNumberFormat="1" applyFont="1" applyFill="1" applyBorder="1" applyAlignment="1" applyProtection="1">
      <alignment vertical="center"/>
      <protection locked="0"/>
    </xf>
    <xf numFmtId="171" fontId="13" fillId="37" borderId="10" xfId="0" applyNumberFormat="1" applyFont="1" applyFill="1" applyBorder="1" applyAlignment="1" applyProtection="1">
      <alignment vertical="center"/>
      <protection locked="0"/>
    </xf>
    <xf numFmtId="171" fontId="4" fillId="37" borderId="10" xfId="0" applyNumberFormat="1" applyFont="1" applyFill="1" applyBorder="1" applyAlignment="1" applyProtection="1">
      <alignment vertical="center"/>
      <protection locked="0"/>
    </xf>
    <xf numFmtId="8" fontId="4" fillId="0" borderId="0" xfId="0" applyNumberFormat="1" applyFont="1" applyFill="1" applyAlignment="1" applyProtection="1">
      <alignment/>
      <protection/>
    </xf>
    <xf numFmtId="0" fontId="5" fillId="33" borderId="11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3" fontId="5" fillId="33" borderId="10" xfId="62" applyNumberFormat="1" applyFont="1" applyFill="1" applyBorder="1" applyAlignment="1" applyProtection="1">
      <alignment horizontal="right" vertical="center"/>
      <protection locked="0"/>
    </xf>
    <xf numFmtId="40" fontId="21" fillId="0" borderId="0" xfId="42" applyNumberFormat="1" applyFont="1" applyFill="1" applyBorder="1" applyAlignment="1" applyProtection="1">
      <alignment/>
      <protection locked="0"/>
    </xf>
    <xf numFmtId="40" fontId="4" fillId="0" borderId="0" xfId="42" applyNumberFormat="1" applyFont="1" applyFill="1" applyAlignment="1" applyProtection="1">
      <alignment/>
      <protection locked="0"/>
    </xf>
    <xf numFmtId="40" fontId="4" fillId="0" borderId="0" xfId="42" applyNumberFormat="1" applyFont="1" applyFill="1" applyBorder="1" applyAlignment="1" applyProtection="1">
      <alignment horizontal="right"/>
      <protection locked="0"/>
    </xf>
    <xf numFmtId="40" fontId="21" fillId="0" borderId="0" xfId="42" applyNumberFormat="1" applyFont="1" applyFill="1" applyBorder="1" applyAlignment="1" applyProtection="1">
      <alignment horizontal="right"/>
      <protection locked="0"/>
    </xf>
    <xf numFmtId="0" fontId="4" fillId="34" borderId="0" xfId="0" applyFont="1" applyFill="1" applyAlignment="1" applyProtection="1">
      <alignment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5" fillId="33" borderId="19" xfId="0" applyFont="1" applyFill="1" applyBorder="1" applyAlignment="1" applyProtection="1">
      <alignment horizontal="center"/>
      <protection/>
    </xf>
    <xf numFmtId="9" fontId="4" fillId="33" borderId="26" xfId="62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 horizontal="center"/>
      <protection/>
    </xf>
    <xf numFmtId="3" fontId="4" fillId="0" borderId="10" xfId="0" applyNumberFormat="1" applyFont="1" applyFill="1" applyBorder="1" applyAlignment="1" applyProtection="1">
      <alignment/>
      <protection/>
    </xf>
    <xf numFmtId="10" fontId="4" fillId="0" borderId="10" xfId="0" applyNumberFormat="1" applyFont="1" applyFill="1" applyBorder="1" applyAlignment="1" applyProtection="1">
      <alignment/>
      <protection/>
    </xf>
    <xf numFmtId="0" fontId="5" fillId="33" borderId="19" xfId="0" applyFont="1" applyFill="1" applyBorder="1" applyAlignment="1" applyProtection="1">
      <alignment horizontal="left"/>
      <protection/>
    </xf>
    <xf numFmtId="0" fontId="5" fillId="34" borderId="30" xfId="0" applyFont="1" applyFill="1" applyBorder="1" applyAlignment="1" applyProtection="1">
      <alignment/>
      <protection/>
    </xf>
    <xf numFmtId="0" fontId="4" fillId="34" borderId="30" xfId="0" applyFont="1" applyFill="1" applyBorder="1" applyAlignment="1" applyProtection="1">
      <alignment horizontal="left" indent="1"/>
      <protection/>
    </xf>
    <xf numFmtId="0" fontId="4" fillId="34" borderId="31" xfId="0" applyFont="1" applyFill="1" applyBorder="1" applyAlignment="1" applyProtection="1">
      <alignment/>
      <protection/>
    </xf>
    <xf numFmtId="3" fontId="5" fillId="34" borderId="32" xfId="0" applyNumberFormat="1" applyFont="1" applyFill="1" applyBorder="1" applyAlignment="1" applyProtection="1">
      <alignment/>
      <protection/>
    </xf>
    <xf numFmtId="4" fontId="4" fillId="34" borderId="32" xfId="0" applyNumberFormat="1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right"/>
      <protection/>
    </xf>
    <xf numFmtId="38" fontId="4" fillId="33" borderId="10" xfId="0" applyNumberFormat="1" applyFont="1" applyFill="1" applyBorder="1" applyAlignment="1" applyProtection="1">
      <alignment horizontal="right"/>
      <protection/>
    </xf>
    <xf numFmtId="3" fontId="5" fillId="33" borderId="13" xfId="0" applyNumberFormat="1" applyFont="1" applyFill="1" applyBorder="1" applyAlignment="1" applyProtection="1">
      <alignment horizontal="right"/>
      <protection/>
    </xf>
    <xf numFmtId="0" fontId="4" fillId="33" borderId="11" xfId="58" applyFont="1" applyFill="1" applyBorder="1" applyAlignment="1" applyProtection="1">
      <alignment horizontal="left" indent="1"/>
      <protection/>
    </xf>
    <xf numFmtId="38" fontId="4" fillId="33" borderId="10" xfId="0" applyNumberFormat="1" applyFont="1" applyFill="1" applyBorder="1" applyAlignment="1" applyProtection="1">
      <alignment horizontal="left" indent="1"/>
      <protection/>
    </xf>
    <xf numFmtId="38" fontId="4" fillId="33" borderId="10" xfId="0" applyNumberFormat="1" applyFont="1" applyFill="1" applyBorder="1" applyAlignment="1" applyProtection="1">
      <alignment horizontal="left"/>
      <protection/>
    </xf>
    <xf numFmtId="3" fontId="34" fillId="33" borderId="10" xfId="58" applyNumberFormat="1" applyFont="1" applyFill="1" applyBorder="1" applyAlignment="1" applyProtection="1">
      <alignment horizontal="right"/>
      <protection/>
    </xf>
    <xf numFmtId="3" fontId="31" fillId="33" borderId="10" xfId="58" applyNumberFormat="1" applyFont="1" applyFill="1" applyBorder="1" applyAlignment="1" applyProtection="1">
      <alignment horizontal="right"/>
      <protection/>
    </xf>
    <xf numFmtId="3" fontId="34" fillId="33" borderId="10" xfId="58" applyNumberFormat="1" applyFont="1" applyFill="1" applyBorder="1" applyProtection="1">
      <alignment/>
      <protection/>
    </xf>
    <xf numFmtId="3" fontId="5" fillId="33" borderId="10" xfId="58" applyNumberFormat="1" applyFont="1" applyFill="1" applyBorder="1" applyAlignment="1" applyProtection="1">
      <alignment horizontal="right"/>
      <protection/>
    </xf>
    <xf numFmtId="3" fontId="34" fillId="33" borderId="10" xfId="58" applyNumberFormat="1" applyFont="1" applyFill="1" applyBorder="1" applyAlignment="1" applyProtection="1">
      <alignment horizontal="center"/>
      <protection/>
    </xf>
    <xf numFmtId="3" fontId="34" fillId="33" borderId="10" xfId="58" applyNumberFormat="1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33" borderId="22" xfId="58" applyFont="1" applyFill="1" applyBorder="1" applyProtection="1">
      <alignment/>
      <protection/>
    </xf>
    <xf numFmtId="0" fontId="4" fillId="33" borderId="25" xfId="58" applyFont="1" applyFill="1" applyBorder="1" applyProtection="1">
      <alignment/>
      <protection/>
    </xf>
    <xf numFmtId="168" fontId="35" fillId="33" borderId="10" xfId="58" applyNumberFormat="1" applyFont="1" applyFill="1" applyBorder="1" applyProtection="1">
      <alignment/>
      <protection/>
    </xf>
    <xf numFmtId="10" fontId="21" fillId="0" borderId="10" xfId="62" applyNumberFormat="1" applyFont="1" applyFill="1" applyBorder="1" applyAlignment="1" applyProtection="1">
      <alignment/>
      <protection locked="0"/>
    </xf>
    <xf numFmtId="10" fontId="21" fillId="33" borderId="10" xfId="62" applyNumberFormat="1" applyFont="1" applyFill="1" applyBorder="1" applyAlignment="1" applyProtection="1">
      <alignment/>
      <protection/>
    </xf>
    <xf numFmtId="179" fontId="21" fillId="0" borderId="10" xfId="62" applyNumberFormat="1" applyFont="1" applyFill="1" applyBorder="1" applyAlignment="1" applyProtection="1">
      <alignment/>
      <protection locked="0"/>
    </xf>
    <xf numFmtId="168" fontId="31" fillId="0" borderId="0" xfId="58" applyNumberFormat="1" applyFont="1" applyFill="1" applyProtection="1">
      <alignment/>
      <protection/>
    </xf>
    <xf numFmtId="168" fontId="8" fillId="33" borderId="12" xfId="58" applyNumberFormat="1" applyFont="1" applyFill="1" applyBorder="1" applyProtection="1">
      <alignment/>
      <protection/>
    </xf>
    <xf numFmtId="0" fontId="4" fillId="33" borderId="24" xfId="58" applyFont="1" applyFill="1" applyBorder="1" applyProtection="1">
      <alignment/>
      <protection/>
    </xf>
    <xf numFmtId="10" fontId="4" fillId="33" borderId="23" xfId="63" applyNumberFormat="1" applyFont="1" applyFill="1" applyBorder="1" applyAlignment="1" applyProtection="1">
      <alignment/>
      <protection/>
    </xf>
    <xf numFmtId="168" fontId="4" fillId="33" borderId="23" xfId="58" applyNumberFormat="1" applyFont="1" applyFill="1" applyBorder="1" applyProtection="1">
      <alignment/>
      <protection/>
    </xf>
    <xf numFmtId="0" fontId="4" fillId="33" borderId="24" xfId="58" applyFont="1" applyFill="1" applyBorder="1" applyAlignment="1" applyProtection="1">
      <alignment horizontal="left" indent="2"/>
      <protection/>
    </xf>
    <xf numFmtId="168" fontId="4" fillId="33" borderId="33" xfId="58" applyNumberFormat="1" applyFont="1" applyFill="1" applyBorder="1" applyProtection="1">
      <alignment/>
      <protection/>
    </xf>
    <xf numFmtId="10" fontId="4" fillId="33" borderId="29" xfId="63" applyNumberFormat="1" applyFont="1" applyFill="1" applyBorder="1" applyAlignment="1" applyProtection="1">
      <alignment/>
      <protection/>
    </xf>
    <xf numFmtId="168" fontId="8" fillId="33" borderId="23" xfId="58" applyNumberFormat="1" applyFont="1" applyFill="1" applyBorder="1" applyProtection="1">
      <alignment/>
      <protection/>
    </xf>
    <xf numFmtId="168" fontId="5" fillId="33" borderId="10" xfId="58" applyNumberFormat="1" applyFont="1" applyFill="1" applyBorder="1" applyAlignment="1" applyProtection="1">
      <alignment/>
      <protection/>
    </xf>
    <xf numFmtId="0" fontId="5" fillId="33" borderId="24" xfId="58" applyFont="1" applyFill="1" applyBorder="1" applyProtection="1">
      <alignment/>
      <protection/>
    </xf>
    <xf numFmtId="0" fontId="5" fillId="33" borderId="14" xfId="58" applyFont="1" applyFill="1" applyBorder="1" applyProtection="1">
      <alignment/>
      <protection/>
    </xf>
    <xf numFmtId="168" fontId="5" fillId="0" borderId="0" xfId="58" applyNumberFormat="1" applyFont="1" applyFill="1" applyBorder="1" applyAlignment="1" applyProtection="1">
      <alignment/>
      <protection/>
    </xf>
    <xf numFmtId="168" fontId="4" fillId="33" borderId="12" xfId="58" applyNumberFormat="1" applyFont="1" applyFill="1" applyBorder="1" applyProtection="1">
      <alignment/>
      <protection/>
    </xf>
    <xf numFmtId="3" fontId="4" fillId="33" borderId="10" xfId="58" applyNumberFormat="1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 horizontal="left" indent="1"/>
      <protection/>
    </xf>
    <xf numFmtId="168" fontId="4" fillId="33" borderId="12" xfId="0" applyNumberFormat="1" applyFont="1" applyFill="1" applyBorder="1" applyAlignment="1" applyProtection="1">
      <alignment/>
      <protection/>
    </xf>
    <xf numFmtId="0" fontId="8" fillId="36" borderId="0" xfId="0" applyFont="1" applyFill="1" applyBorder="1" applyAlignment="1" applyProtection="1">
      <alignment horizontal="right"/>
      <protection/>
    </xf>
    <xf numFmtId="0" fontId="10" fillId="0" borderId="0" xfId="0" applyFont="1" applyFill="1" applyAlignment="1" applyProtection="1">
      <alignment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/>
      <protection locked="0"/>
    </xf>
    <xf numFmtId="1" fontId="4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left" indent="1"/>
      <protection locked="0"/>
    </xf>
    <xf numFmtId="3" fontId="5" fillId="0" borderId="10" xfId="0" applyNumberFormat="1" applyFont="1" applyFill="1" applyBorder="1" applyAlignment="1" applyProtection="1">
      <alignment/>
      <protection locked="0"/>
    </xf>
    <xf numFmtId="38" fontId="4" fillId="0" borderId="10" xfId="0" applyNumberFormat="1" applyFont="1" applyFill="1" applyBorder="1" applyAlignment="1" applyProtection="1">
      <alignment horizontal="center"/>
      <protection locked="0"/>
    </xf>
    <xf numFmtId="38" fontId="4" fillId="0" borderId="10" xfId="0" applyNumberFormat="1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1" fontId="4" fillId="0" borderId="15" xfId="0" applyNumberFormat="1" applyFont="1" applyFill="1" applyBorder="1" applyAlignment="1" applyProtection="1">
      <alignment horizontal="right" vertical="center"/>
      <protection locked="0"/>
    </xf>
    <xf numFmtId="3" fontId="4" fillId="0" borderId="15" xfId="0" applyNumberFormat="1" applyFont="1" applyFill="1" applyBorder="1" applyAlignment="1" applyProtection="1">
      <alignment horizontal="right" vertical="center"/>
      <protection locked="0"/>
    </xf>
    <xf numFmtId="1" fontId="5" fillId="0" borderId="1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 locked="0"/>
    </xf>
    <xf numFmtId="3" fontId="5" fillId="33" borderId="10" xfId="0" applyNumberFormat="1" applyFont="1" applyFill="1" applyBorder="1" applyAlignment="1" applyProtection="1">
      <alignment horizontal="right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0" fontId="5" fillId="33" borderId="34" xfId="0" applyFont="1" applyFill="1" applyBorder="1" applyAlignment="1" applyProtection="1">
      <alignment horizontal="center"/>
      <protection/>
    </xf>
    <xf numFmtId="0" fontId="5" fillId="33" borderId="35" xfId="0" applyFont="1" applyFill="1" applyBorder="1" applyAlignment="1" applyProtection="1">
      <alignment horizontal="center"/>
      <protection/>
    </xf>
    <xf numFmtId="9" fontId="4" fillId="33" borderId="36" xfId="62" applyFont="1" applyFill="1" applyBorder="1" applyAlignment="1" applyProtection="1">
      <alignment horizontal="right" vertical="center"/>
      <protection/>
    </xf>
    <xf numFmtId="4" fontId="4" fillId="33" borderId="36" xfId="0" applyNumberFormat="1" applyFont="1" applyFill="1" applyBorder="1" applyAlignment="1" applyProtection="1">
      <alignment horizontal="right" vertical="center"/>
      <protection/>
    </xf>
    <xf numFmtId="0" fontId="5" fillId="33" borderId="37" xfId="0" applyFont="1" applyFill="1" applyBorder="1" applyAlignment="1" applyProtection="1">
      <alignment horizontal="center"/>
      <protection/>
    </xf>
    <xf numFmtId="9" fontId="4" fillId="33" borderId="38" xfId="62" applyFont="1" applyFill="1" applyBorder="1" applyAlignment="1" applyProtection="1">
      <alignment horizontal="right" vertical="center"/>
      <protection/>
    </xf>
    <xf numFmtId="0" fontId="4" fillId="33" borderId="39" xfId="0" applyFont="1" applyFill="1" applyBorder="1" applyAlignment="1" applyProtection="1">
      <alignment horizontal="left"/>
      <protection/>
    </xf>
    <xf numFmtId="168" fontId="5" fillId="33" borderId="26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5" fillId="33" borderId="10" xfId="0" applyNumberFormat="1" applyFont="1" applyFill="1" applyBorder="1" applyAlignment="1" applyProtection="1">
      <alignment horizontal="center"/>
      <protection/>
    </xf>
    <xf numFmtId="4" fontId="4" fillId="0" borderId="0" xfId="0" applyNumberFormat="1" applyFont="1" applyFill="1" applyAlignment="1" applyProtection="1">
      <alignment/>
      <protection/>
    </xf>
    <xf numFmtId="4" fontId="5" fillId="33" borderId="26" xfId="0" applyNumberFormat="1" applyFont="1" applyFill="1" applyBorder="1" applyAlignment="1" applyProtection="1">
      <alignment vertical="center"/>
      <protection/>
    </xf>
    <xf numFmtId="4" fontId="4" fillId="33" borderId="13" xfId="0" applyNumberFormat="1" applyFont="1" applyFill="1" applyBorder="1" applyAlignment="1" applyProtection="1">
      <alignment vertical="center"/>
      <protection/>
    </xf>
    <xf numFmtId="4" fontId="5" fillId="33" borderId="13" xfId="0" applyNumberFormat="1" applyFont="1" applyFill="1" applyBorder="1" applyAlignment="1" applyProtection="1">
      <alignment vertical="center"/>
      <protection/>
    </xf>
    <xf numFmtId="0" fontId="5" fillId="33" borderId="17" xfId="0" applyFont="1" applyFill="1" applyBorder="1" applyAlignment="1" applyProtection="1">
      <alignment horizontal="left"/>
      <protection/>
    </xf>
    <xf numFmtId="0" fontId="5" fillId="33" borderId="22" xfId="0" applyFont="1" applyFill="1" applyBorder="1" applyAlignment="1" applyProtection="1">
      <alignment/>
      <protection/>
    </xf>
    <xf numFmtId="171" fontId="4" fillId="37" borderId="10" xfId="0" applyNumberFormat="1" applyFont="1" applyFill="1" applyBorder="1" applyAlignment="1" applyProtection="1">
      <alignment horizontal="right"/>
      <protection/>
    </xf>
    <xf numFmtId="171" fontId="5" fillId="37" borderId="10" xfId="0" applyNumberFormat="1" applyFont="1" applyFill="1" applyBorder="1" applyAlignment="1" applyProtection="1">
      <alignment horizontal="right"/>
      <protection/>
    </xf>
    <xf numFmtId="0" fontId="5" fillId="33" borderId="10" xfId="0" applyFont="1" applyFill="1" applyBorder="1" applyAlignment="1" applyProtection="1">
      <alignment horizontal="right" vertical="center" wrapText="1"/>
      <protection/>
    </xf>
    <xf numFmtId="168" fontId="5" fillId="33" borderId="10" xfId="0" applyNumberFormat="1" applyFont="1" applyFill="1" applyBorder="1" applyAlignment="1" applyProtection="1">
      <alignment horizontal="right" vertical="center"/>
      <protection/>
    </xf>
    <xf numFmtId="168" fontId="4" fillId="0" borderId="10" xfId="0" applyNumberFormat="1" applyFont="1" applyFill="1" applyBorder="1" applyAlignment="1" applyProtection="1">
      <alignment horizontal="right" vertical="center"/>
      <protection locked="0"/>
    </xf>
    <xf numFmtId="168" fontId="5" fillId="33" borderId="13" xfId="0" applyNumberFormat="1" applyFont="1" applyFill="1" applyBorder="1" applyAlignment="1" applyProtection="1">
      <alignment horizontal="right"/>
      <protection/>
    </xf>
    <xf numFmtId="38" fontId="4" fillId="33" borderId="11" xfId="0" applyNumberFormat="1" applyFont="1" applyFill="1" applyBorder="1" applyAlignment="1" applyProtection="1">
      <alignment horizontal="left" indent="1"/>
      <protection/>
    </xf>
    <xf numFmtId="3" fontId="13" fillId="0" borderId="10" xfId="62" applyNumberFormat="1" applyFont="1" applyFill="1" applyBorder="1" applyAlignment="1" applyProtection="1">
      <alignment horizontal="center"/>
      <protection locked="0"/>
    </xf>
    <xf numFmtId="0" fontId="4" fillId="33" borderId="11" xfId="58" applyFont="1" applyFill="1" applyBorder="1" applyAlignment="1" applyProtection="1">
      <alignment horizontal="left"/>
      <protection/>
    </xf>
    <xf numFmtId="1" fontId="4" fillId="33" borderId="10" xfId="62" applyNumberFormat="1" applyFont="1" applyFill="1" applyBorder="1" applyAlignment="1" applyProtection="1">
      <alignment/>
      <protection/>
    </xf>
    <xf numFmtId="0" fontId="5" fillId="34" borderId="40" xfId="0" applyFont="1" applyFill="1" applyBorder="1" applyAlignment="1" applyProtection="1">
      <alignment horizontal="center"/>
      <protection/>
    </xf>
    <xf numFmtId="3" fontId="4" fillId="34" borderId="40" xfId="0" applyNumberFormat="1" applyFont="1" applyFill="1" applyBorder="1" applyAlignment="1" applyProtection="1">
      <alignment horizontal="center"/>
      <protection/>
    </xf>
    <xf numFmtId="0" fontId="4" fillId="34" borderId="40" xfId="0" applyFont="1" applyFill="1" applyBorder="1" applyAlignment="1" applyProtection="1">
      <alignment horizontal="center"/>
      <protection/>
    </xf>
    <xf numFmtId="172" fontId="4" fillId="34" borderId="40" xfId="0" applyNumberFormat="1" applyFont="1" applyFill="1" applyBorder="1" applyAlignment="1" applyProtection="1">
      <alignment horizontal="center"/>
      <protection/>
    </xf>
    <xf numFmtId="170" fontId="4" fillId="34" borderId="40" xfId="0" applyNumberFormat="1" applyFont="1" applyFill="1" applyBorder="1" applyAlignment="1" applyProtection="1">
      <alignment horizontal="center"/>
      <protection/>
    </xf>
    <xf numFmtId="0" fontId="86" fillId="38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 locked="0"/>
    </xf>
    <xf numFmtId="1" fontId="4" fillId="34" borderId="40" xfId="0" applyNumberFormat="1" applyFont="1" applyFill="1" applyBorder="1" applyAlignment="1" applyProtection="1">
      <alignment horizontal="center"/>
      <protection/>
    </xf>
    <xf numFmtId="177" fontId="87" fillId="0" borderId="40" xfId="0" applyNumberFormat="1" applyFont="1" applyFill="1" applyBorder="1" applyAlignment="1" applyProtection="1">
      <alignment/>
      <protection/>
    </xf>
    <xf numFmtId="177" fontId="88" fillId="0" borderId="40" xfId="0" applyNumberFormat="1" applyFont="1" applyFill="1" applyBorder="1" applyAlignment="1" applyProtection="1">
      <alignment/>
      <protection/>
    </xf>
    <xf numFmtId="0" fontId="86" fillId="0" borderId="0" xfId="0" applyFont="1" applyFill="1" applyAlignment="1" applyProtection="1">
      <alignment/>
      <protection/>
    </xf>
    <xf numFmtId="4" fontId="4" fillId="33" borderId="10" xfId="0" applyNumberFormat="1" applyFont="1" applyFill="1" applyBorder="1" applyAlignment="1" applyProtection="1">
      <alignment vertical="center" wrapText="1"/>
      <protection/>
    </xf>
    <xf numFmtId="3" fontId="5" fillId="33" borderId="10" xfId="62" applyNumberFormat="1" applyFont="1" applyFill="1" applyBorder="1" applyAlignment="1" applyProtection="1">
      <alignment horizontal="center" vertical="center"/>
      <protection/>
    </xf>
    <xf numFmtId="166" fontId="13" fillId="33" borderId="12" xfId="0" applyNumberFormat="1" applyFont="1" applyFill="1" applyBorder="1" applyAlignment="1" applyProtection="1">
      <alignment horizontal="center" vertical="center"/>
      <protection locked="0"/>
    </xf>
    <xf numFmtId="169" fontId="4" fillId="33" borderId="10" xfId="0" applyNumberFormat="1" applyFont="1" applyFill="1" applyBorder="1" applyAlignment="1" applyProtection="1" quotePrefix="1">
      <alignment horizontal="center"/>
      <protection/>
    </xf>
    <xf numFmtId="169" fontId="5" fillId="33" borderId="10" xfId="0" applyNumberFormat="1" applyFont="1" applyFill="1" applyBorder="1" applyAlignment="1" applyProtection="1" quotePrefix="1">
      <alignment horizontal="center"/>
      <protection/>
    </xf>
    <xf numFmtId="9" fontId="86" fillId="0" borderId="0" xfId="62" applyFont="1" applyFill="1" applyAlignment="1" applyProtection="1">
      <alignment/>
      <protection hidden="1"/>
    </xf>
    <xf numFmtId="172" fontId="13" fillId="0" borderId="15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/>
      <protection/>
    </xf>
    <xf numFmtId="3" fontId="5" fillId="39" borderId="10" xfId="62" applyNumberFormat="1" applyFont="1" applyFill="1" applyBorder="1" applyAlignment="1" applyProtection="1">
      <alignment horizontal="center" vertical="center"/>
      <protection locked="0"/>
    </xf>
    <xf numFmtId="10" fontId="5" fillId="39" borderId="10" xfId="62" applyNumberFormat="1" applyFont="1" applyFill="1" applyBorder="1" applyAlignment="1" applyProtection="1">
      <alignment horizontal="center" vertical="center"/>
      <protection/>
    </xf>
    <xf numFmtId="3" fontId="5" fillId="39" borderId="10" xfId="62" applyNumberFormat="1" applyFont="1" applyFill="1" applyBorder="1" applyAlignment="1" applyProtection="1">
      <alignment horizontal="center" vertical="center"/>
      <protection/>
    </xf>
    <xf numFmtId="0" fontId="4" fillId="40" borderId="0" xfId="0" applyFont="1" applyFill="1" applyAlignment="1" applyProtection="1">
      <alignment/>
      <protection/>
    </xf>
    <xf numFmtId="0" fontId="4" fillId="34" borderId="0" xfId="0" applyFont="1" applyFill="1" applyBorder="1" applyAlignment="1" applyProtection="1">
      <alignment horizontal="center"/>
      <protection locked="0"/>
    </xf>
    <xf numFmtId="3" fontId="4" fillId="39" borderId="10" xfId="62" applyNumberFormat="1" applyFont="1" applyFill="1" applyBorder="1" applyAlignment="1" applyProtection="1">
      <alignment horizontal="right" vertical="center"/>
      <protection locked="0"/>
    </xf>
    <xf numFmtId="3" fontId="4" fillId="39" borderId="10" xfId="0" applyNumberFormat="1" applyFont="1" applyFill="1" applyBorder="1" applyAlignment="1" applyProtection="1">
      <alignment horizontal="right" vertical="center"/>
      <protection/>
    </xf>
    <xf numFmtId="3" fontId="4" fillId="41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28" xfId="62" applyNumberFormat="1" applyFont="1" applyFill="1" applyBorder="1" applyAlignment="1" applyProtection="1">
      <alignment horizontal="right" vertical="center"/>
      <protection locked="0"/>
    </xf>
    <xf numFmtId="3" fontId="5" fillId="6" borderId="10" xfId="62" applyNumberFormat="1" applyFont="1" applyFill="1" applyBorder="1" applyAlignment="1" applyProtection="1">
      <alignment horizontal="right" vertical="center"/>
      <protection locked="0"/>
    </xf>
    <xf numFmtId="10" fontId="4" fillId="4" borderId="10" xfId="0" applyNumberFormat="1" applyFont="1" applyFill="1" applyBorder="1" applyAlignment="1" applyProtection="1">
      <alignment vertical="center" wrapText="1"/>
      <protection/>
    </xf>
    <xf numFmtId="10" fontId="4" fillId="4" borderId="10" xfId="0" applyNumberFormat="1" applyFont="1" applyFill="1" applyBorder="1" applyAlignment="1" applyProtection="1">
      <alignment vertical="center" wrapText="1"/>
      <protection locked="0"/>
    </xf>
    <xf numFmtId="0" fontId="89" fillId="4" borderId="0" xfId="0" applyFont="1" applyFill="1" applyBorder="1" applyAlignment="1" applyProtection="1">
      <alignment/>
      <protection/>
    </xf>
    <xf numFmtId="3" fontId="5" fillId="6" borderId="40" xfId="62" applyNumberFormat="1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3" fillId="0" borderId="15" xfId="0" applyFont="1" applyFill="1" applyBorder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 horizontal="center"/>
      <protection locked="0"/>
    </xf>
    <xf numFmtId="10" fontId="13" fillId="0" borderId="10" xfId="0" applyNumberFormat="1" applyFont="1" applyFill="1" applyBorder="1" applyAlignment="1" applyProtection="1">
      <alignment horizontal="center"/>
      <protection locked="0"/>
    </xf>
    <xf numFmtId="10" fontId="13" fillId="6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hidden="1"/>
    </xf>
    <xf numFmtId="10" fontId="13" fillId="0" borderId="11" xfId="0" applyNumberFormat="1" applyFont="1" applyFill="1" applyBorder="1" applyAlignment="1" applyProtection="1">
      <alignment horizontal="center"/>
      <protection locked="0"/>
    </xf>
    <xf numFmtId="2" fontId="13" fillId="0" borderId="11" xfId="0" applyNumberFormat="1" applyFont="1" applyFill="1" applyBorder="1" applyAlignment="1" applyProtection="1">
      <alignment horizontal="center"/>
      <protection locked="0"/>
    </xf>
    <xf numFmtId="167" fontId="13" fillId="6" borderId="13" xfId="62" applyNumberFormat="1" applyFont="1" applyFill="1" applyBorder="1" applyAlignment="1" applyProtection="1">
      <alignment horizontal="center" vertical="center"/>
      <protection/>
    </xf>
    <xf numFmtId="167" fontId="90" fillId="6" borderId="13" xfId="62" applyNumberFormat="1" applyFont="1" applyFill="1" applyBorder="1" applyAlignment="1" applyProtection="1">
      <alignment horizontal="center" vertical="center"/>
      <protection locked="0"/>
    </xf>
    <xf numFmtId="170" fontId="13" fillId="0" borderId="10" xfId="0" applyNumberFormat="1" applyFont="1" applyFill="1" applyBorder="1" applyAlignment="1" applyProtection="1">
      <alignment/>
      <protection locked="0"/>
    </xf>
    <xf numFmtId="170" fontId="13" fillId="33" borderId="10" xfId="62" applyNumberFormat="1" applyFont="1" applyFill="1" applyBorder="1" applyAlignment="1" applyProtection="1">
      <alignment horizontal="center" vertical="center"/>
      <protection/>
    </xf>
    <xf numFmtId="170" fontId="13" fillId="33" borderId="10" xfId="62" applyNumberFormat="1" applyFont="1" applyFill="1" applyBorder="1" applyAlignment="1" applyProtection="1">
      <alignment horizontal="center" vertical="center"/>
      <protection locked="0"/>
    </xf>
    <xf numFmtId="170" fontId="5" fillId="33" borderId="13" xfId="0" applyNumberFormat="1" applyFont="1" applyFill="1" applyBorder="1" applyAlignment="1" applyProtection="1">
      <alignment/>
      <protection/>
    </xf>
    <xf numFmtId="167" fontId="13" fillId="33" borderId="10" xfId="62" applyNumberFormat="1" applyFont="1" applyFill="1" applyBorder="1" applyAlignment="1" applyProtection="1">
      <alignment horizontal="center" vertical="center"/>
      <protection/>
    </xf>
    <xf numFmtId="167" fontId="13" fillId="0" borderId="1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/>
    </xf>
    <xf numFmtId="0" fontId="4" fillId="34" borderId="0" xfId="0" applyFont="1" applyFill="1" applyAlignment="1" applyProtection="1">
      <alignment horizontal="center"/>
      <protection/>
    </xf>
    <xf numFmtId="167" fontId="13" fillId="33" borderId="10" xfId="0" applyNumberFormat="1" applyFont="1" applyFill="1" applyBorder="1" applyAlignment="1" applyProtection="1">
      <alignment horizontal="center"/>
      <protection/>
    </xf>
    <xf numFmtId="10" fontId="13" fillId="6" borderId="10" xfId="62" applyNumberFormat="1" applyFont="1" applyFill="1" applyBorder="1" applyAlignment="1" applyProtection="1">
      <alignment horizontal="center"/>
      <protection locked="0"/>
    </xf>
    <xf numFmtId="4" fontId="13" fillId="6" borderId="10" xfId="62" applyNumberFormat="1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167" fontId="13" fillId="0" borderId="10" xfId="62" applyNumberFormat="1" applyFont="1" applyFill="1" applyBorder="1" applyAlignment="1" applyProtection="1">
      <alignment horizontal="center" vertical="center"/>
      <protection locked="0"/>
    </xf>
    <xf numFmtId="170" fontId="4" fillId="0" borderId="10" xfId="0" applyNumberFormat="1" applyFont="1" applyFill="1" applyBorder="1" applyAlignment="1" applyProtection="1">
      <alignment/>
      <protection locked="0"/>
    </xf>
    <xf numFmtId="170" fontId="4" fillId="0" borderId="10" xfId="0" applyNumberFormat="1" applyFont="1" applyFill="1" applyBorder="1" applyAlignment="1" applyProtection="1">
      <alignment horizontal="right" vertical="center"/>
      <protection locked="0"/>
    </xf>
    <xf numFmtId="170" fontId="4" fillId="0" borderId="12" xfId="0" applyNumberFormat="1" applyFont="1" applyFill="1" applyBorder="1" applyAlignment="1" applyProtection="1">
      <alignment horizontal="right" vertical="center"/>
      <protection locked="0"/>
    </xf>
    <xf numFmtId="2" fontId="4" fillId="6" borderId="40" xfId="0" applyNumberFormat="1" applyFont="1" applyFill="1" applyBorder="1" applyAlignment="1" applyProtection="1">
      <alignment horizontal="center"/>
      <protection locked="0"/>
    </xf>
    <xf numFmtId="10" fontId="33" fillId="6" borderId="40" xfId="0" applyNumberFormat="1" applyFont="1" applyFill="1" applyBorder="1" applyAlignment="1" applyProtection="1">
      <alignment horizontal="center"/>
      <protection locked="0"/>
    </xf>
    <xf numFmtId="0" fontId="8" fillId="36" borderId="0" xfId="0" applyFont="1" applyFill="1" applyAlignment="1" applyProtection="1">
      <alignment/>
      <protection/>
    </xf>
    <xf numFmtId="3" fontId="4" fillId="39" borderId="23" xfId="62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justify" vertical="center" wrapText="1"/>
      <protection hidden="1"/>
    </xf>
    <xf numFmtId="9" fontId="4" fillId="0" borderId="0" xfId="62" applyFont="1" applyFill="1" applyAlignment="1" applyProtection="1">
      <alignment horizontal="center"/>
      <protection hidden="1"/>
    </xf>
    <xf numFmtId="1" fontId="13" fillId="0" borderId="15" xfId="0" applyNumberFormat="1" applyFont="1" applyFill="1" applyBorder="1" applyAlignment="1" applyProtection="1">
      <alignment horizontal="center"/>
      <protection hidden="1"/>
    </xf>
    <xf numFmtId="2" fontId="89" fillId="0" borderId="0" xfId="62" applyNumberFormat="1" applyFont="1" applyFill="1" applyAlignment="1" applyProtection="1">
      <alignment/>
      <protection hidden="1"/>
    </xf>
    <xf numFmtId="0" fontId="13" fillId="42" borderId="10" xfId="0" applyFont="1" applyFill="1" applyBorder="1" applyAlignment="1" applyProtection="1">
      <alignment horizontal="center"/>
      <protection locked="0"/>
    </xf>
    <xf numFmtId="0" fontId="91" fillId="0" borderId="41" xfId="0" applyFont="1" applyBorder="1" applyAlignment="1">
      <alignment horizontal="center" wrapText="1"/>
    </xf>
    <xf numFmtId="0" fontId="92" fillId="38" borderId="0" xfId="0" applyFont="1" applyFill="1" applyAlignment="1">
      <alignment horizontal="center"/>
    </xf>
    <xf numFmtId="0" fontId="93" fillId="38" borderId="0" xfId="0" applyFont="1" applyFill="1" applyAlignment="1">
      <alignment horizontal="center" vertical="center" wrapText="1"/>
    </xf>
    <xf numFmtId="0" fontId="94" fillId="38" borderId="0" xfId="0" applyFont="1" applyFill="1" applyAlignment="1" applyProtection="1">
      <alignment horizontal="center" vertical="center" wrapText="1"/>
      <protection locked="0"/>
    </xf>
    <xf numFmtId="0" fontId="95" fillId="38" borderId="0" xfId="0" applyFont="1" applyFill="1" applyAlignment="1" applyProtection="1">
      <alignment horizontal="center" vertical="center" wrapText="1"/>
      <protection locked="0"/>
    </xf>
    <xf numFmtId="168" fontId="4" fillId="7" borderId="23" xfId="58" applyNumberFormat="1" applyFont="1" applyFill="1" applyBorder="1" applyProtection="1">
      <alignment/>
      <protection/>
    </xf>
    <xf numFmtId="168" fontId="4" fillId="6" borderId="23" xfId="58" applyNumberFormat="1" applyFont="1" applyFill="1" applyBorder="1" applyProtection="1" quotePrefix="1">
      <alignment/>
      <protection/>
    </xf>
    <xf numFmtId="168" fontId="4" fillId="6" borderId="23" xfId="58" applyNumberFormat="1" applyFont="1" applyFill="1" applyBorder="1" applyProtection="1">
      <alignment/>
      <protection/>
    </xf>
    <xf numFmtId="168" fontId="4" fillId="6" borderId="42" xfId="58" applyNumberFormat="1" applyFont="1" applyFill="1" applyBorder="1" applyProtection="1" quotePrefix="1">
      <alignment/>
      <protection/>
    </xf>
    <xf numFmtId="171" fontId="5" fillId="41" borderId="29" xfId="0" applyNumberFormat="1" applyFont="1" applyFill="1" applyBorder="1" applyAlignment="1" applyProtection="1">
      <alignment horizontal="right"/>
      <protection/>
    </xf>
    <xf numFmtId="0" fontId="4" fillId="34" borderId="0" xfId="0" applyFont="1" applyFill="1" applyAlignment="1" applyProtection="1" quotePrefix="1">
      <alignment/>
      <protection/>
    </xf>
    <xf numFmtId="4" fontId="4" fillId="0" borderId="10" xfId="0" applyNumberFormat="1" applyFont="1" applyFill="1" applyBorder="1" applyAlignment="1" applyProtection="1">
      <alignment vertical="center"/>
      <protection locked="0"/>
    </xf>
    <xf numFmtId="166" fontId="13" fillId="6" borderId="12" xfId="0" applyNumberFormat="1" applyFont="1" applyFill="1" applyBorder="1" applyAlignment="1" applyProtection="1">
      <alignment horizontal="center" vertical="center"/>
      <protection locked="0"/>
    </xf>
    <xf numFmtId="10" fontId="13" fillId="6" borderId="10" xfId="62" applyNumberFormat="1" applyFont="1" applyFill="1" applyBorder="1" applyAlignment="1" applyProtection="1">
      <alignment horizontal="center" vertical="center"/>
      <protection locked="0"/>
    </xf>
    <xf numFmtId="0" fontId="96" fillId="0" borderId="0" xfId="57" applyFont="1" applyFill="1" applyAlignment="1" applyProtection="1">
      <alignment horizontal="right" vertical="top" wrapText="1"/>
      <protection hidden="1"/>
    </xf>
    <xf numFmtId="0" fontId="97" fillId="0" borderId="0" xfId="57" applyFont="1" applyFill="1" applyAlignment="1" applyProtection="1">
      <alignment horizontal="right" vertical="top" wrapText="1"/>
      <protection hidden="1"/>
    </xf>
    <xf numFmtId="0" fontId="22" fillId="0" borderId="0" xfId="57" applyFont="1" applyFill="1" applyBorder="1" applyAlignment="1" applyProtection="1">
      <alignment horizontal="left" wrapText="1"/>
      <protection hidden="1"/>
    </xf>
    <xf numFmtId="0" fontId="28" fillId="0" borderId="43" xfId="57" applyFont="1" applyFill="1" applyBorder="1" applyAlignment="1" applyProtection="1">
      <alignment horizontal="center"/>
      <protection hidden="1"/>
    </xf>
    <xf numFmtId="0" fontId="22" fillId="0" borderId="0" xfId="57" applyFont="1" applyFill="1" applyBorder="1" applyAlignment="1" applyProtection="1">
      <alignment horizontal="left"/>
      <protection hidden="1"/>
    </xf>
    <xf numFmtId="0" fontId="42" fillId="0" borderId="0" xfId="57" applyFont="1" applyFill="1" applyAlignment="1" applyProtection="1">
      <alignment horizontal="center" vertical="center" wrapText="1"/>
      <protection hidden="1"/>
    </xf>
    <xf numFmtId="0" fontId="28" fillId="0" borderId="43" xfId="0" applyFont="1" applyFill="1" applyBorder="1" applyAlignment="1" applyProtection="1">
      <alignment horizontal="center"/>
      <protection hidden="1"/>
    </xf>
    <xf numFmtId="0" fontId="86" fillId="2" borderId="11" xfId="0" applyFont="1" applyFill="1" applyBorder="1" applyAlignment="1" applyProtection="1">
      <alignment/>
      <protection hidden="1"/>
    </xf>
    <xf numFmtId="0" fontId="86" fillId="2" borderId="17" xfId="0" applyFont="1" applyFill="1" applyBorder="1" applyAlignment="1" applyProtection="1">
      <alignment/>
      <protection hidden="1"/>
    </xf>
    <xf numFmtId="0" fontId="86" fillId="2" borderId="15" xfId="0" applyFont="1" applyFill="1" applyBorder="1" applyAlignment="1" applyProtection="1">
      <alignment/>
      <protection hidden="1"/>
    </xf>
    <xf numFmtId="0" fontId="27" fillId="0" borderId="0" xfId="0" applyFont="1" applyFill="1" applyAlignment="1" applyProtection="1">
      <alignment horizontal="center"/>
      <protection hidden="1"/>
    </xf>
    <xf numFmtId="0" fontId="86" fillId="2" borderId="14" xfId="0" applyFont="1" applyFill="1" applyBorder="1" applyAlignment="1" applyProtection="1">
      <alignment horizontal="justify"/>
      <protection hidden="1"/>
    </xf>
    <xf numFmtId="0" fontId="86" fillId="2" borderId="18" xfId="0" applyFont="1" applyFill="1" applyBorder="1" applyAlignment="1" applyProtection="1">
      <alignment horizontal="justify"/>
      <protection hidden="1"/>
    </xf>
    <xf numFmtId="0" fontId="86" fillId="2" borderId="19" xfId="0" applyFont="1" applyFill="1" applyBorder="1" applyAlignment="1" applyProtection="1">
      <alignment horizontal="justify"/>
      <protection hidden="1"/>
    </xf>
    <xf numFmtId="0" fontId="86" fillId="2" borderId="24" xfId="0" applyFont="1" applyFill="1" applyBorder="1" applyAlignment="1" applyProtection="1">
      <alignment horizontal="justify"/>
      <protection hidden="1"/>
    </xf>
    <xf numFmtId="0" fontId="86" fillId="2" borderId="0" xfId="0" applyFont="1" applyFill="1" applyBorder="1" applyAlignment="1" applyProtection="1">
      <alignment horizontal="justify"/>
      <protection hidden="1"/>
    </xf>
    <xf numFmtId="0" fontId="86" fillId="2" borderId="33" xfId="0" applyFont="1" applyFill="1" applyBorder="1" applyAlignment="1" applyProtection="1">
      <alignment horizontal="justify"/>
      <protection hidden="1"/>
    </xf>
    <xf numFmtId="0" fontId="86" fillId="2" borderId="22" xfId="0" applyFont="1" applyFill="1" applyBorder="1" applyAlignment="1" applyProtection="1">
      <alignment horizontal="justify"/>
      <protection hidden="1"/>
    </xf>
    <xf numFmtId="0" fontId="86" fillId="2" borderId="20" xfId="0" applyFont="1" applyFill="1" applyBorder="1" applyAlignment="1" applyProtection="1">
      <alignment horizontal="justify"/>
      <protection hidden="1"/>
    </xf>
    <xf numFmtId="0" fontId="86" fillId="2" borderId="25" xfId="0" applyFont="1" applyFill="1" applyBorder="1" applyAlignment="1" applyProtection="1">
      <alignment horizontal="justify"/>
      <protection hidden="1"/>
    </xf>
    <xf numFmtId="9" fontId="86" fillId="2" borderId="24" xfId="62" applyFont="1" applyFill="1" applyBorder="1" applyAlignment="1" applyProtection="1">
      <alignment vertical="center"/>
      <protection hidden="1"/>
    </xf>
    <xf numFmtId="9" fontId="86" fillId="2" borderId="24" xfId="62" applyFont="1" applyFill="1" applyBorder="1" applyAlignment="1" applyProtection="1">
      <alignment horizontal="justify" vertical="center"/>
      <protection hidden="1"/>
    </xf>
    <xf numFmtId="2" fontId="86" fillId="2" borderId="24" xfId="62" applyNumberFormat="1" applyFont="1" applyFill="1" applyBorder="1" applyAlignment="1" applyProtection="1">
      <alignment horizontal="justify"/>
      <protection hidden="1"/>
    </xf>
    <xf numFmtId="9" fontId="86" fillId="2" borderId="24" xfId="62" applyFont="1" applyFill="1" applyBorder="1" applyAlignment="1" applyProtection="1">
      <alignment horizontal="justify"/>
      <protection hidden="1"/>
    </xf>
    <xf numFmtId="0" fontId="4" fillId="0" borderId="0" xfId="0" applyFont="1" applyFill="1" applyBorder="1" applyAlignment="1" applyProtection="1">
      <alignment horizontal="justify" vertical="center" wrapText="1"/>
      <protection hidden="1"/>
    </xf>
    <xf numFmtId="0" fontId="10" fillId="33" borderId="10" xfId="0" applyFont="1" applyFill="1" applyBorder="1" applyAlignment="1" applyProtection="1">
      <alignment horizontal="center"/>
      <protection/>
    </xf>
    <xf numFmtId="0" fontId="10" fillId="33" borderId="13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0" borderId="15" xfId="0" applyFont="1" applyFill="1" applyBorder="1" applyAlignment="1" applyProtection="1">
      <alignment horizontal="left"/>
      <protection locked="0"/>
    </xf>
    <xf numFmtId="0" fontId="10" fillId="33" borderId="13" xfId="0" applyFont="1" applyFill="1" applyBorder="1" applyAlignment="1" applyProtection="1">
      <alignment horizontal="left"/>
      <protection/>
    </xf>
    <xf numFmtId="0" fontId="43" fillId="33" borderId="10" xfId="0" applyFont="1" applyFill="1" applyBorder="1" applyAlignment="1" applyProtection="1">
      <alignment horizontal="left"/>
      <protection/>
    </xf>
    <xf numFmtId="0" fontId="10" fillId="33" borderId="10" xfId="0" applyFont="1" applyFill="1" applyBorder="1" applyAlignment="1" applyProtection="1">
      <alignment horizontal="left"/>
      <protection/>
    </xf>
    <xf numFmtId="0" fontId="28" fillId="0" borderId="43" xfId="0" applyFont="1" applyFill="1" applyBorder="1" applyAlignment="1" applyProtection="1">
      <alignment horizontal="center"/>
      <protection/>
    </xf>
    <xf numFmtId="0" fontId="10" fillId="33" borderId="16" xfId="0" applyFont="1" applyFill="1" applyBorder="1" applyAlignment="1" applyProtection="1">
      <alignment horizontal="center"/>
      <protection/>
    </xf>
    <xf numFmtId="0" fontId="10" fillId="33" borderId="26" xfId="0" applyFont="1" applyFill="1" applyBorder="1" applyAlignment="1" applyProtection="1">
      <alignment horizontal="center"/>
      <protection/>
    </xf>
    <xf numFmtId="0" fontId="10" fillId="33" borderId="11" xfId="0" applyFont="1" applyFill="1" applyBorder="1" applyAlignment="1" applyProtection="1">
      <alignment horizontal="center"/>
      <protection/>
    </xf>
    <xf numFmtId="0" fontId="10" fillId="33" borderId="15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168" fontId="5" fillId="33" borderId="16" xfId="0" applyNumberFormat="1" applyFont="1" applyFill="1" applyBorder="1" applyAlignment="1" applyProtection="1">
      <alignment horizontal="left" vertical="center" indent="5"/>
      <protection/>
    </xf>
    <xf numFmtId="168" fontId="5" fillId="33" borderId="21" xfId="0" applyNumberFormat="1" applyFont="1" applyFill="1" applyBorder="1" applyAlignment="1" applyProtection="1">
      <alignment horizontal="left" vertical="center" indent="5"/>
      <protection/>
    </xf>
    <xf numFmtId="168" fontId="5" fillId="33" borderId="13" xfId="0" applyNumberFormat="1" applyFont="1" applyFill="1" applyBorder="1" applyAlignment="1" applyProtection="1">
      <alignment horizontal="left" vertical="center" indent="5"/>
      <protection/>
    </xf>
    <xf numFmtId="0" fontId="5" fillId="33" borderId="16" xfId="0" applyFont="1" applyFill="1" applyBorder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 horizontal="center"/>
      <protection/>
    </xf>
    <xf numFmtId="0" fontId="5" fillId="33" borderId="26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 indent="5"/>
      <protection/>
    </xf>
    <xf numFmtId="0" fontId="16" fillId="33" borderId="11" xfId="0" applyFont="1" applyFill="1" applyBorder="1" applyAlignment="1" applyProtection="1">
      <alignment horizontal="center"/>
      <protection/>
    </xf>
    <xf numFmtId="0" fontId="16" fillId="33" borderId="17" xfId="0" applyFont="1" applyFill="1" applyBorder="1" applyAlignment="1" applyProtection="1">
      <alignment horizontal="center"/>
      <protection/>
    </xf>
    <xf numFmtId="0" fontId="16" fillId="33" borderId="15" xfId="0" applyFont="1" applyFill="1" applyBorder="1" applyAlignment="1" applyProtection="1">
      <alignment horizontal="center"/>
      <protection/>
    </xf>
    <xf numFmtId="0" fontId="11" fillId="33" borderId="11" xfId="0" applyFont="1" applyFill="1" applyBorder="1" applyAlignment="1" applyProtection="1">
      <alignment horizontal="center"/>
      <protection/>
    </xf>
    <xf numFmtId="0" fontId="11" fillId="33" borderId="17" xfId="0" applyFont="1" applyFill="1" applyBorder="1" applyAlignment="1" applyProtection="1">
      <alignment horizontal="center"/>
      <protection/>
    </xf>
    <xf numFmtId="0" fontId="11" fillId="33" borderId="15" xfId="0" applyFont="1" applyFill="1" applyBorder="1" applyAlignment="1" applyProtection="1">
      <alignment horizontal="center"/>
      <protection/>
    </xf>
    <xf numFmtId="168" fontId="5" fillId="33" borderId="16" xfId="0" applyNumberFormat="1" applyFont="1" applyFill="1" applyBorder="1" applyAlignment="1" applyProtection="1">
      <alignment horizontal="center" vertical="center"/>
      <protection/>
    </xf>
    <xf numFmtId="168" fontId="5" fillId="33" borderId="21" xfId="0" applyNumberFormat="1" applyFont="1" applyFill="1" applyBorder="1" applyAlignment="1" applyProtection="1">
      <alignment horizontal="center" vertical="center"/>
      <protection/>
    </xf>
    <xf numFmtId="168" fontId="5" fillId="33" borderId="26" xfId="0" applyNumberFormat="1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17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15" xfId="0" applyFont="1" applyFill="1" applyBorder="1" applyAlignment="1" applyProtection="1">
      <alignment horizontal="left"/>
      <protection locked="0"/>
    </xf>
    <xf numFmtId="168" fontId="5" fillId="33" borderId="11" xfId="58" applyNumberFormat="1" applyFont="1" applyFill="1" applyBorder="1" applyAlignment="1" applyProtection="1">
      <alignment horizontal="center" vertical="center"/>
      <protection/>
    </xf>
    <xf numFmtId="168" fontId="5" fillId="33" borderId="15" xfId="58" applyNumberFormat="1" applyFont="1" applyFill="1" applyBorder="1" applyAlignment="1" applyProtection="1">
      <alignment horizontal="center" vertical="center"/>
      <protection/>
    </xf>
    <xf numFmtId="0" fontId="5" fillId="33" borderId="11" xfId="58" applyFont="1" applyFill="1" applyBorder="1" applyAlignment="1" applyProtection="1">
      <alignment horizontal="center"/>
      <protection/>
    </xf>
    <xf numFmtId="0" fontId="5" fillId="33" borderId="15" xfId="58" applyFont="1" applyFill="1" applyBorder="1" applyAlignment="1" applyProtection="1">
      <alignment horizontal="center"/>
      <protection/>
    </xf>
    <xf numFmtId="168" fontId="5" fillId="33" borderId="11" xfId="58" applyNumberFormat="1" applyFont="1" applyFill="1" applyBorder="1" applyAlignment="1" applyProtection="1">
      <alignment horizontal="left" vertical="center"/>
      <protection/>
    </xf>
    <xf numFmtId="168" fontId="5" fillId="33" borderId="15" xfId="58" applyNumberFormat="1" applyFont="1" applyFill="1" applyBorder="1" applyAlignment="1" applyProtection="1">
      <alignment horizontal="left" vertical="center"/>
      <protection/>
    </xf>
    <xf numFmtId="0" fontId="10" fillId="33" borderId="10" xfId="58" applyFont="1" applyFill="1" applyBorder="1" applyAlignment="1" applyProtection="1">
      <alignment horizontal="center"/>
      <protection/>
    </xf>
    <xf numFmtId="0" fontId="5" fillId="33" borderId="44" xfId="58" applyFont="1" applyFill="1" applyBorder="1" applyAlignment="1" applyProtection="1">
      <alignment horizontal="center"/>
      <protection/>
    </xf>
    <xf numFmtId="0" fontId="5" fillId="33" borderId="45" xfId="58" applyFont="1" applyFill="1" applyBorder="1" applyAlignment="1" applyProtection="1">
      <alignment horizontal="center"/>
      <protection/>
    </xf>
    <xf numFmtId="0" fontId="5" fillId="33" borderId="46" xfId="58" applyFont="1" applyFill="1" applyBorder="1" applyAlignment="1" applyProtection="1">
      <alignment horizontal="center"/>
      <protection/>
    </xf>
    <xf numFmtId="168" fontId="5" fillId="33" borderId="13" xfId="58" applyNumberFormat="1" applyFont="1" applyFill="1" applyBorder="1" applyAlignment="1" applyProtection="1">
      <alignment horizontal="left" vertical="center"/>
      <protection/>
    </xf>
    <xf numFmtId="0" fontId="5" fillId="33" borderId="47" xfId="0" applyFont="1" applyFill="1" applyBorder="1" applyAlignment="1" applyProtection="1">
      <alignment horizontal="center" vertical="top" wrapText="1"/>
      <protection/>
    </xf>
    <xf numFmtId="0" fontId="5" fillId="33" borderId="19" xfId="0" applyFont="1" applyFill="1" applyBorder="1" applyAlignment="1" applyProtection="1">
      <alignment horizontal="center" vertical="top" wrapText="1"/>
      <protection/>
    </xf>
    <xf numFmtId="0" fontId="5" fillId="33" borderId="48" xfId="0" applyFont="1" applyFill="1" applyBorder="1" applyAlignment="1" applyProtection="1">
      <alignment horizontal="center" vertical="top" wrapText="1"/>
      <protection/>
    </xf>
    <xf numFmtId="0" fontId="5" fillId="33" borderId="49" xfId="0" applyFont="1" applyFill="1" applyBorder="1" applyAlignment="1" applyProtection="1">
      <alignment horizontal="center" vertical="top" wrapText="1"/>
      <protection/>
    </xf>
    <xf numFmtId="0" fontId="4" fillId="39" borderId="50" xfId="0" applyFont="1" applyFill="1" applyBorder="1" applyAlignment="1" applyProtection="1">
      <alignment horizontal="left"/>
      <protection/>
    </xf>
    <xf numFmtId="0" fontId="4" fillId="39" borderId="51" xfId="0" applyFont="1" applyFill="1" applyBorder="1" applyAlignment="1" applyProtection="1">
      <alignment horizontal="left"/>
      <protection/>
    </xf>
    <xf numFmtId="0" fontId="5" fillId="33" borderId="48" xfId="0" applyFont="1" applyFill="1" applyBorder="1" applyAlignment="1" applyProtection="1">
      <alignment horizontal="left" vertical="top" wrapText="1"/>
      <protection/>
    </xf>
    <xf numFmtId="0" fontId="5" fillId="33" borderId="49" xfId="0" applyFont="1" applyFill="1" applyBorder="1" applyAlignment="1" applyProtection="1">
      <alignment horizontal="left" vertical="top" wrapText="1"/>
      <protection/>
    </xf>
    <xf numFmtId="0" fontId="5" fillId="33" borderId="24" xfId="0" applyFont="1" applyFill="1" applyBorder="1" applyAlignment="1" applyProtection="1">
      <alignment horizontal="center"/>
      <protection/>
    </xf>
    <xf numFmtId="0" fontId="5" fillId="33" borderId="33" xfId="0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 horizontal="center"/>
      <protection/>
    </xf>
    <xf numFmtId="0" fontId="5" fillId="33" borderId="19" xfId="0" applyFont="1" applyFill="1" applyBorder="1" applyAlignment="1" applyProtection="1">
      <alignment horizontal="center"/>
      <protection/>
    </xf>
    <xf numFmtId="0" fontId="10" fillId="0" borderId="43" xfId="0" applyFont="1" applyFill="1" applyBorder="1" applyAlignment="1" applyProtection="1">
      <alignment horizontal="center"/>
      <protection/>
    </xf>
    <xf numFmtId="0" fontId="38" fillId="9" borderId="11" xfId="0" applyFont="1" applyFill="1" applyBorder="1" applyAlignment="1" applyProtection="1">
      <alignment horizontal="center"/>
      <protection/>
    </xf>
    <xf numFmtId="0" fontId="38" fillId="9" borderId="15" xfId="0" applyFont="1" applyFill="1" applyBorder="1" applyAlignment="1" applyProtection="1">
      <alignment horizontal="center"/>
      <protection/>
    </xf>
    <xf numFmtId="0" fontId="86" fillId="38" borderId="0" xfId="0" applyFont="1" applyFill="1" applyBorder="1" applyAlignment="1" applyProtection="1">
      <alignment horizontal="justify"/>
      <protection/>
    </xf>
    <xf numFmtId="3" fontId="5" fillId="6" borderId="52" xfId="0" applyNumberFormat="1" applyFont="1" applyFill="1" applyBorder="1" applyAlignment="1" applyProtection="1">
      <alignment horizontal="center" vertical="center"/>
      <protection/>
    </xf>
    <xf numFmtId="0" fontId="5" fillId="6" borderId="53" xfId="0" applyFont="1" applyFill="1" applyBorder="1" applyAlignment="1" applyProtection="1">
      <alignment horizontal="center" vertical="center"/>
      <protection/>
    </xf>
    <xf numFmtId="0" fontId="41" fillId="4" borderId="11" xfId="0" applyFont="1" applyFill="1" applyBorder="1" applyAlignment="1" applyProtection="1">
      <alignment horizontal="center"/>
      <protection/>
    </xf>
    <xf numFmtId="0" fontId="41" fillId="4" borderId="15" xfId="0" applyFont="1" applyFill="1" applyBorder="1" applyAlignment="1" applyProtection="1">
      <alignment horizontal="center"/>
      <protection/>
    </xf>
    <xf numFmtId="0" fontId="38" fillId="13" borderId="11" xfId="0" applyFont="1" applyFill="1" applyBorder="1" applyAlignment="1" applyProtection="1">
      <alignment horizontal="center"/>
      <protection/>
    </xf>
    <xf numFmtId="0" fontId="38" fillId="13" borderId="15" xfId="0" applyFont="1" applyFill="1" applyBorder="1" applyAlignment="1" applyProtection="1">
      <alignment horizontal="center"/>
      <protection/>
    </xf>
    <xf numFmtId="0" fontId="89" fillId="34" borderId="54" xfId="0" applyFont="1" applyFill="1" applyBorder="1" applyAlignment="1" applyProtection="1">
      <alignment horizontal="justify"/>
      <protection/>
    </xf>
    <xf numFmtId="0" fontId="89" fillId="34" borderId="0" xfId="0" applyFont="1" applyFill="1" applyBorder="1" applyAlignment="1" applyProtection="1">
      <alignment horizontal="justify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1" xfId="57"/>
    <cellStyle name="Normal_ModeloEconFinanceiro" xfId="58"/>
    <cellStyle name="Normal_ModeloInzym" xfId="59"/>
    <cellStyle name="Note" xfId="60"/>
    <cellStyle name="Output" xfId="61"/>
    <cellStyle name="Percent" xfId="62"/>
    <cellStyle name="Percentagem_ModeloInzym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2</xdr:col>
      <xdr:colOff>733425</xdr:colOff>
      <xdr:row>3</xdr:row>
      <xdr:rowOff>9525</xdr:rowOff>
    </xdr:to>
    <xdr:pic>
      <xdr:nvPicPr>
        <xdr:cNvPr id="1" name="Picture 3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7625"/>
          <a:ext cx="1323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47625</xdr:rowOff>
    </xdr:from>
    <xdr:to>
      <xdr:col>2</xdr:col>
      <xdr:colOff>733425</xdr:colOff>
      <xdr:row>3</xdr:row>
      <xdr:rowOff>9525</xdr:rowOff>
    </xdr:to>
    <xdr:pic>
      <xdr:nvPicPr>
        <xdr:cNvPr id="2" name="Picture 3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7625"/>
          <a:ext cx="1323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47625</xdr:rowOff>
    </xdr:from>
    <xdr:to>
      <xdr:col>2</xdr:col>
      <xdr:colOff>733425</xdr:colOff>
      <xdr:row>3</xdr:row>
      <xdr:rowOff>9525</xdr:rowOff>
    </xdr:to>
    <xdr:pic>
      <xdr:nvPicPr>
        <xdr:cNvPr id="3" name="Picture 3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7625"/>
          <a:ext cx="1323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687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687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1428750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33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31</xdr:row>
      <xdr:rowOff>47625</xdr:rowOff>
    </xdr:from>
    <xdr:to>
      <xdr:col>0</xdr:col>
      <xdr:colOff>1504950</xdr:colOff>
      <xdr:row>33</xdr:row>
      <xdr:rowOff>47625</xdr:rowOff>
    </xdr:to>
    <xdr:sp macro="[0]!Macro1">
      <xdr:nvSpPr>
        <xdr:cNvPr id="2" name="AutoShape 3"/>
        <xdr:cNvSpPr>
          <a:spLocks/>
        </xdr:cNvSpPr>
      </xdr:nvSpPr>
      <xdr:spPr>
        <a:xfrm>
          <a:off x="285750" y="5124450"/>
          <a:ext cx="1219200" cy="3238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Acerto do modelo</a:t>
          </a:r>
        </a:p>
      </xdr:txBody>
    </xdr:sp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1</xdr:col>
      <xdr:colOff>47625</xdr:colOff>
      <xdr:row>3</xdr:row>
      <xdr:rowOff>38100</xdr:rowOff>
    </xdr:to>
    <xdr:pic>
      <xdr:nvPicPr>
        <xdr:cNvPr id="1" name="Picture 689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1409700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14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9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323850</xdr:colOff>
      <xdr:row>49</xdr:row>
      <xdr:rowOff>9525</xdr:rowOff>
    </xdr:from>
    <xdr:to>
      <xdr:col>13</xdr:col>
      <xdr:colOff>323850</xdr:colOff>
      <xdr:row>63</xdr:row>
      <xdr:rowOff>9525</xdr:rowOff>
    </xdr:to>
    <xdr:sp>
      <xdr:nvSpPr>
        <xdr:cNvPr id="2" name="Conexão recta unidireccional 3"/>
        <xdr:cNvSpPr>
          <a:spLocks/>
        </xdr:cNvSpPr>
      </xdr:nvSpPr>
      <xdr:spPr>
        <a:xfrm flipH="1">
          <a:off x="8439150" y="7991475"/>
          <a:ext cx="0" cy="2276475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361950</xdr:colOff>
      <xdr:row>60</xdr:row>
      <xdr:rowOff>85725</xdr:rowOff>
    </xdr:from>
    <xdr:to>
      <xdr:col>14</xdr:col>
      <xdr:colOff>0</xdr:colOff>
      <xdr:row>60</xdr:row>
      <xdr:rowOff>85725</xdr:rowOff>
    </xdr:to>
    <xdr:sp>
      <xdr:nvSpPr>
        <xdr:cNvPr id="3" name="Conexão recta unidireccional 11"/>
        <xdr:cNvSpPr>
          <a:spLocks/>
        </xdr:cNvSpPr>
      </xdr:nvSpPr>
      <xdr:spPr>
        <a:xfrm>
          <a:off x="8477250" y="9848850"/>
          <a:ext cx="219075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361950</xdr:colOff>
      <xdr:row>62</xdr:row>
      <xdr:rowOff>104775</xdr:rowOff>
    </xdr:from>
    <xdr:to>
      <xdr:col>14</xdr:col>
      <xdr:colOff>0</xdr:colOff>
      <xdr:row>62</xdr:row>
      <xdr:rowOff>104775</xdr:rowOff>
    </xdr:to>
    <xdr:sp>
      <xdr:nvSpPr>
        <xdr:cNvPr id="4" name="Conexão recta unidireccional 12"/>
        <xdr:cNvSpPr>
          <a:spLocks/>
        </xdr:cNvSpPr>
      </xdr:nvSpPr>
      <xdr:spPr>
        <a:xfrm>
          <a:off x="8477250" y="10201275"/>
          <a:ext cx="219075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238125</xdr:colOff>
      <xdr:row>30</xdr:row>
      <xdr:rowOff>38100</xdr:rowOff>
    </xdr:from>
    <xdr:to>
      <xdr:col>13</xdr:col>
      <xdr:colOff>257175</xdr:colOff>
      <xdr:row>39</xdr:row>
      <xdr:rowOff>38100</xdr:rowOff>
    </xdr:to>
    <xdr:sp>
      <xdr:nvSpPr>
        <xdr:cNvPr id="5" name="Conexão recta unidireccional 13"/>
        <xdr:cNvSpPr>
          <a:spLocks/>
        </xdr:cNvSpPr>
      </xdr:nvSpPr>
      <xdr:spPr>
        <a:xfrm>
          <a:off x="8353425" y="4924425"/>
          <a:ext cx="19050" cy="146685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323850</xdr:colOff>
      <xdr:row>36</xdr:row>
      <xdr:rowOff>114300</xdr:rowOff>
    </xdr:from>
    <xdr:to>
      <xdr:col>13</xdr:col>
      <xdr:colOff>542925</xdr:colOff>
      <xdr:row>36</xdr:row>
      <xdr:rowOff>114300</xdr:rowOff>
    </xdr:to>
    <xdr:sp>
      <xdr:nvSpPr>
        <xdr:cNvPr id="6" name="Conexão recta unidireccional 16"/>
        <xdr:cNvSpPr>
          <a:spLocks/>
        </xdr:cNvSpPr>
      </xdr:nvSpPr>
      <xdr:spPr>
        <a:xfrm>
          <a:off x="8439150" y="5972175"/>
          <a:ext cx="219075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371475</xdr:colOff>
      <xdr:row>38</xdr:row>
      <xdr:rowOff>104775</xdr:rowOff>
    </xdr:from>
    <xdr:to>
      <xdr:col>14</xdr:col>
      <xdr:colOff>0</xdr:colOff>
      <xdr:row>38</xdr:row>
      <xdr:rowOff>104775</xdr:rowOff>
    </xdr:to>
    <xdr:sp>
      <xdr:nvSpPr>
        <xdr:cNvPr id="7" name="Conexão recta unidireccional 17"/>
        <xdr:cNvSpPr>
          <a:spLocks/>
        </xdr:cNvSpPr>
      </xdr:nvSpPr>
      <xdr:spPr>
        <a:xfrm>
          <a:off x="8486775" y="6296025"/>
          <a:ext cx="209550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304800</xdr:colOff>
      <xdr:row>17</xdr:row>
      <xdr:rowOff>114300</xdr:rowOff>
    </xdr:from>
    <xdr:to>
      <xdr:col>13</xdr:col>
      <xdr:colOff>523875</xdr:colOff>
      <xdr:row>17</xdr:row>
      <xdr:rowOff>114300</xdr:rowOff>
    </xdr:to>
    <xdr:sp>
      <xdr:nvSpPr>
        <xdr:cNvPr id="8" name="Conexão recta unidireccional 8"/>
        <xdr:cNvSpPr>
          <a:spLocks/>
        </xdr:cNvSpPr>
      </xdr:nvSpPr>
      <xdr:spPr>
        <a:xfrm>
          <a:off x="8420100" y="2876550"/>
          <a:ext cx="219075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323850</xdr:colOff>
      <xdr:row>19</xdr:row>
      <xdr:rowOff>104775</xdr:rowOff>
    </xdr:from>
    <xdr:to>
      <xdr:col>13</xdr:col>
      <xdr:colOff>533400</xdr:colOff>
      <xdr:row>19</xdr:row>
      <xdr:rowOff>104775</xdr:rowOff>
    </xdr:to>
    <xdr:sp>
      <xdr:nvSpPr>
        <xdr:cNvPr id="9" name="Conexão recta unidireccional 9"/>
        <xdr:cNvSpPr>
          <a:spLocks/>
        </xdr:cNvSpPr>
      </xdr:nvSpPr>
      <xdr:spPr>
        <a:xfrm>
          <a:off x="8439150" y="3200400"/>
          <a:ext cx="209550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219075</xdr:colOff>
      <xdr:row>10</xdr:row>
      <xdr:rowOff>47625</xdr:rowOff>
    </xdr:from>
    <xdr:to>
      <xdr:col>13</xdr:col>
      <xdr:colOff>228600</xdr:colOff>
      <xdr:row>19</xdr:row>
      <xdr:rowOff>123825</xdr:rowOff>
    </xdr:to>
    <xdr:sp>
      <xdr:nvSpPr>
        <xdr:cNvPr id="10" name="Conexão recta unidireccional 10"/>
        <xdr:cNvSpPr>
          <a:spLocks/>
        </xdr:cNvSpPr>
      </xdr:nvSpPr>
      <xdr:spPr>
        <a:xfrm>
          <a:off x="8334375" y="1676400"/>
          <a:ext cx="9525" cy="154305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38100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0</xdr:rowOff>
    </xdr:to>
    <xdr:pic>
      <xdr:nvPicPr>
        <xdr:cNvPr id="1" name="Picture 5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1409700</xdr:colOff>
      <xdr:row>3</xdr:row>
      <xdr:rowOff>0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14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1428750</xdr:colOff>
      <xdr:row>3</xdr:row>
      <xdr:rowOff>28575</xdr:rowOff>
    </xdr:to>
    <xdr:pic>
      <xdr:nvPicPr>
        <xdr:cNvPr id="1" name="Picture 540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33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47625</xdr:rowOff>
    </xdr:from>
    <xdr:to>
      <xdr:col>0</xdr:col>
      <xdr:colOff>1409700</xdr:colOff>
      <xdr:row>4</xdr:row>
      <xdr:rowOff>0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19075"/>
          <a:ext cx="1314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1237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f\Os%20meus%20documentos\PESS\MBA\ESTRED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rabalho\ClientesActivos\Collab\Or&#231;mto%202006%20v2\Or&#231;mto%202006%20v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miraldes\Downloads\SBI%20Consulting\Finicia\ModeloGaspar\3&#170;versao\pn_v4_3004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ESTR"/>
      <sheetName val="Valor"/>
      <sheetName val="GRAF"/>
      <sheetName val="Modul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 Global"/>
      <sheetName val="HelpPessoal"/>
      <sheetName val="Painel"/>
      <sheetName val="Pessoal"/>
      <sheetName val="Projectos"/>
      <sheetName val="HelpCC"/>
      <sheetName val="HelpP"/>
      <sheetName val="HelpInf"/>
      <sheetName val="Novos Projectos"/>
      <sheetName val="OI's"/>
      <sheetName val="C_Exploração"/>
      <sheetName val="Indicadores"/>
      <sheetName val="Calc"/>
      <sheetName val="Tab_2"/>
      <sheetName val="Unidades"/>
      <sheetName val="All"/>
      <sheetName val="Tabel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ras de Utilização"/>
      <sheetName val="Pressupostos"/>
      <sheetName val="VN"/>
      <sheetName val="CMVMC"/>
      <sheetName val="FSE"/>
      <sheetName val="Custos Pessoal"/>
      <sheetName val="FundoManeio"/>
      <sheetName val="Investimento"/>
      <sheetName val="Financiamento"/>
      <sheetName val="DR"/>
      <sheetName val="Cash Flow"/>
      <sheetName val="PlanoFinanceiro"/>
      <sheetName val="Balanço"/>
      <sheetName val="Indicadores"/>
      <sheetName val="Avaliação"/>
      <sheetName val="Calculos Auxilia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5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3.7109375" style="11" customWidth="1"/>
    <col min="2" max="2" width="112.00390625" style="0" customWidth="1"/>
    <col min="3" max="73" width="3.7109375" style="11" customWidth="1"/>
  </cols>
  <sheetData>
    <row r="1" ht="196.5" customHeight="1" thickBot="1">
      <c r="B1" s="462" t="s">
        <v>463</v>
      </c>
    </row>
    <row r="2" ht="42" customHeight="1">
      <c r="B2" s="463" t="s">
        <v>464</v>
      </c>
    </row>
    <row r="3" ht="252.75" customHeight="1">
      <c r="B3" s="465" t="s">
        <v>465</v>
      </c>
    </row>
    <row r="4" ht="24.75" customHeight="1">
      <c r="B4" s="466" t="s">
        <v>466</v>
      </c>
    </row>
    <row r="5" ht="35.25" customHeight="1">
      <c r="B5" s="464"/>
    </row>
    <row r="6" s="11" customFormat="1" ht="409.5" customHeight="1"/>
    <row r="7" s="11" customFormat="1" ht="409.5" customHeight="1"/>
    <row r="8" s="11" customFormat="1" ht="409.5" customHeight="1"/>
    <row r="9" s="11" customFormat="1" ht="409.5" customHeight="1"/>
    <row r="10" s="11" customFormat="1" ht="409.5" customHeight="1"/>
    <row r="11" s="11" customFormat="1" ht="409.5" customHeight="1"/>
    <row r="12" s="11" customFormat="1" ht="409.5" customHeight="1"/>
    <row r="13" s="11" customFormat="1" ht="409.5" customHeight="1"/>
    <row r="14" s="11" customFormat="1" ht="409.5" customHeight="1"/>
    <row r="15" s="11" customFormat="1" ht="409.5" customHeight="1"/>
    <row r="16" s="11" customFormat="1" ht="409.5" customHeight="1"/>
    <row r="17" s="11" customFormat="1" ht="409.5" customHeight="1"/>
    <row r="18" s="11" customFormat="1" ht="409.5" customHeight="1"/>
    <row r="19" s="11" customFormat="1" ht="409.5" customHeight="1"/>
    <row r="20" s="11" customFormat="1" ht="409.5" customHeight="1"/>
    <row r="21" s="11" customFormat="1" ht="409.5" customHeight="1"/>
    <row r="22" s="11" customFormat="1" ht="409.5" customHeight="1"/>
    <row r="23" s="11" customFormat="1" ht="409.5" customHeight="1"/>
    <row r="24" s="11" customFormat="1" ht="409.5" customHeight="1"/>
    <row r="25" s="11" customFormat="1" ht="409.5" customHeight="1"/>
    <row r="26" s="11" customFormat="1" ht="409.5" customHeight="1"/>
    <row r="27" s="11" customFormat="1" ht="409.5" customHeight="1"/>
    <row r="28" s="11" customFormat="1" ht="409.5" customHeight="1"/>
    <row r="29" s="11" customFormat="1" ht="409.5" customHeight="1"/>
    <row r="30" s="11" customFormat="1" ht="409.5" customHeight="1"/>
    <row r="31" s="11" customFormat="1" ht="409.5" customHeight="1"/>
    <row r="32" s="11" customFormat="1" ht="409.5" customHeight="1"/>
    <row r="33" s="11" customFormat="1" ht="409.5" customHeight="1"/>
    <row r="34" s="11" customFormat="1" ht="409.5" customHeight="1"/>
    <row r="35" s="11" customFormat="1" ht="409.5" customHeight="1"/>
    <row r="36" s="11" customFormat="1" ht="409.5" customHeight="1"/>
    <row r="37" s="11" customFormat="1" ht="409.5" customHeight="1"/>
    <row r="38" s="11" customFormat="1" ht="409.5" customHeight="1"/>
    <row r="39" s="11" customFormat="1" ht="409.5" customHeight="1"/>
    <row r="40" s="11" customFormat="1" ht="409.5" customHeight="1"/>
    <row r="41" s="11" customFormat="1" ht="409.5" customHeight="1"/>
    <row r="42" s="11" customFormat="1" ht="409.5" customHeight="1"/>
    <row r="43" s="11" customFormat="1" ht="409.5" customHeight="1"/>
    <row r="44" s="11" customFormat="1" ht="409.5" customHeight="1"/>
    <row r="45" s="11" customFormat="1" ht="409.5" customHeight="1"/>
    <row r="46" s="11" customFormat="1" ht="409.5" customHeight="1"/>
    <row r="47" s="11" customFormat="1" ht="409.5" customHeight="1"/>
    <row r="48" s="11" customFormat="1" ht="409.5" customHeight="1"/>
    <row r="49" s="11" customFormat="1" ht="409.5" customHeight="1"/>
    <row r="50" s="11" customFormat="1" ht="409.5" customHeight="1"/>
    <row r="51" s="11" customFormat="1" ht="409.5" customHeight="1"/>
    <row r="52" s="11" customFormat="1" ht="409.5" customHeight="1"/>
    <row r="53" s="11" customFormat="1" ht="409.5" customHeight="1"/>
    <row r="54" s="11" customFormat="1" ht="409.5" customHeight="1"/>
    <row r="55" s="11" customFormat="1" ht="409.5" customHeight="1"/>
    <row r="56" s="11" customFormat="1" ht="409.5" customHeight="1"/>
    <row r="57" s="11" customFormat="1" ht="409.5" customHeight="1"/>
    <row r="58" s="11" customFormat="1" ht="409.5" customHeight="1"/>
    <row r="59" s="11" customFormat="1" ht="409.5" customHeight="1"/>
    <row r="60" s="11" customFormat="1" ht="409.5" customHeight="1"/>
    <row r="61" s="11" customFormat="1" ht="409.5" customHeight="1"/>
    <row r="62" s="11" customFormat="1" ht="409.5" customHeight="1"/>
    <row r="63" s="11" customFormat="1" ht="409.5" customHeight="1"/>
    <row r="64" s="11" customFormat="1" ht="409.5" customHeight="1"/>
    <row r="65" s="11" customFormat="1" ht="409.5" customHeight="1"/>
    <row r="66" s="11" customFormat="1" ht="409.5" customHeight="1"/>
    <row r="67" s="11" customFormat="1" ht="409.5" customHeight="1"/>
    <row r="68" s="11" customFormat="1" ht="409.5" customHeight="1"/>
    <row r="69" s="11" customFormat="1" ht="409.5" customHeight="1"/>
    <row r="70" s="11" customFormat="1" ht="409.5" customHeight="1"/>
    <row r="71" s="11" customFormat="1" ht="409.5" customHeight="1"/>
    <row r="72" s="11" customFormat="1" ht="409.5" customHeight="1"/>
    <row r="73" s="11" customFormat="1" ht="409.5" customHeight="1"/>
    <row r="74" s="11" customFormat="1" ht="409.5" customHeight="1"/>
    <row r="75" s="11" customFormat="1" ht="409.5" customHeight="1"/>
    <row r="76" s="11" customFormat="1" ht="409.5" customHeight="1"/>
    <row r="77" s="11" customFormat="1" ht="409.5" customHeight="1"/>
    <row r="78" s="11" customFormat="1" ht="409.5" customHeight="1"/>
    <row r="79" s="11" customFormat="1" ht="409.5" customHeight="1"/>
    <row r="80" s="11" customFormat="1" ht="409.5" customHeight="1"/>
    <row r="81" s="11" customFormat="1" ht="409.5" customHeight="1"/>
    <row r="82" s="11" customFormat="1" ht="409.5" customHeight="1"/>
    <row r="83" s="11" customFormat="1" ht="409.5" customHeight="1"/>
    <row r="84" s="11" customFormat="1" ht="409.5" customHeight="1"/>
    <row r="85" s="11" customFormat="1" ht="409.5" customHeight="1"/>
    <row r="86" s="11" customFormat="1" ht="409.5" customHeight="1"/>
    <row r="87" s="11" customFormat="1" ht="409.5" customHeight="1"/>
    <row r="88" s="11" customFormat="1" ht="409.5" customHeight="1"/>
    <row r="89" s="11" customFormat="1" ht="409.5" customHeight="1"/>
    <row r="90" s="11" customFormat="1" ht="409.5" customHeight="1"/>
    <row r="91" s="11" customFormat="1" ht="409.5" customHeight="1"/>
    <row r="92" s="11" customFormat="1" ht="409.5" customHeight="1"/>
    <row r="93" s="11" customFormat="1" ht="409.5" customHeight="1"/>
    <row r="94" s="11" customFormat="1" ht="409.5" customHeight="1"/>
    <row r="95" s="11" customFormat="1" ht="409.5" customHeight="1"/>
    <row r="96" s="11" customFormat="1" ht="409.5" customHeight="1"/>
    <row r="97" s="11" customFormat="1" ht="409.5" customHeight="1"/>
    <row r="98" s="11" customFormat="1" ht="409.5" customHeight="1"/>
    <row r="99" s="11" customFormat="1" ht="409.5" customHeight="1"/>
    <row r="100" s="11" customFormat="1" ht="409.5" customHeight="1"/>
    <row r="101" s="11" customFormat="1" ht="409.5" customHeight="1"/>
    <row r="102" s="11" customFormat="1" ht="409.5" customHeight="1"/>
    <row r="103" s="11" customFormat="1" ht="409.5" customHeight="1"/>
    <row r="104" s="11" customFormat="1" ht="409.5" customHeight="1"/>
    <row r="105" s="11" customFormat="1" ht="409.5" customHeight="1"/>
    <row r="106" s="11" customFormat="1" ht="409.5" customHeight="1"/>
    <row r="107" s="11" customFormat="1" ht="409.5" customHeight="1"/>
    <row r="108" s="11" customFormat="1" ht="409.5" customHeight="1"/>
    <row r="109" s="11" customFormat="1" ht="409.5" customHeight="1"/>
    <row r="110" s="11" customFormat="1" ht="409.5" customHeight="1"/>
    <row r="111" s="11" customFormat="1" ht="409.5" customHeight="1"/>
    <row r="112" s="11" customFormat="1" ht="409.5" customHeight="1"/>
    <row r="113" s="11" customFormat="1" ht="409.5" customHeight="1"/>
    <row r="114" s="11" customFormat="1" ht="409.5" customHeight="1"/>
    <row r="115" s="11" customFormat="1" ht="409.5" customHeight="1"/>
    <row r="116" s="11" customFormat="1" ht="409.5" customHeight="1"/>
    <row r="117" s="11" customFormat="1" ht="409.5" customHeight="1"/>
    <row r="118" s="11" customFormat="1" ht="409.5" customHeight="1"/>
    <row r="119" s="11" customFormat="1" ht="409.5" customHeight="1"/>
    <row r="120" s="11" customFormat="1" ht="409.5" customHeight="1"/>
    <row r="121" s="11" customFormat="1" ht="409.5" customHeight="1"/>
    <row r="122" s="11" customFormat="1" ht="409.5" customHeight="1"/>
    <row r="123" s="11" customFormat="1" ht="409.5" customHeight="1"/>
    <row r="124" s="11" customFormat="1" ht="409.5" customHeight="1"/>
    <row r="125" s="11" customFormat="1" ht="409.5" customHeight="1"/>
    <row r="126" s="11" customFormat="1" ht="409.5" customHeight="1"/>
    <row r="127" s="11" customFormat="1" ht="409.5" customHeight="1"/>
    <row r="128" s="11" customFormat="1" ht="409.5" customHeight="1"/>
    <row r="129" s="11" customFormat="1" ht="409.5" customHeight="1"/>
    <row r="130" s="11" customFormat="1" ht="409.5" customHeight="1"/>
    <row r="131" s="11" customFormat="1" ht="409.5" customHeight="1"/>
    <row r="132" s="11" customFormat="1" ht="409.5" customHeight="1"/>
    <row r="133" s="11" customFormat="1" ht="409.5" customHeight="1"/>
    <row r="134" s="11" customFormat="1" ht="409.5" customHeight="1"/>
    <row r="135" s="11" customFormat="1" ht="409.5" customHeight="1"/>
    <row r="136" s="11" customFormat="1" ht="409.5" customHeight="1"/>
    <row r="137" s="11" customFormat="1" ht="409.5" customHeight="1"/>
    <row r="138" s="11" customFormat="1" ht="409.5" customHeight="1"/>
    <row r="139" s="11" customFormat="1" ht="409.5" customHeight="1"/>
    <row r="140" s="11" customFormat="1" ht="409.5" customHeight="1"/>
    <row r="141" s="11" customFormat="1" ht="409.5" customHeight="1"/>
    <row r="142" s="11" customFormat="1" ht="409.5" customHeight="1"/>
    <row r="143" s="11" customFormat="1" ht="409.5" customHeight="1"/>
    <row r="144" s="11" customFormat="1" ht="409.5" customHeight="1"/>
    <row r="145" s="11" customFormat="1" ht="409.5" customHeight="1"/>
    <row r="146" s="11" customFormat="1" ht="409.5" customHeight="1"/>
    <row r="147" s="11" customFormat="1" ht="409.5" customHeight="1"/>
    <row r="148" s="11" customFormat="1" ht="409.5" customHeight="1"/>
    <row r="149" s="11" customFormat="1" ht="409.5" customHeight="1"/>
    <row r="150" s="11" customFormat="1" ht="409.5" customHeight="1"/>
    <row r="151" s="11" customFormat="1" ht="409.5" customHeight="1"/>
    <row r="152" s="11" customFormat="1" ht="409.5" customHeight="1"/>
    <row r="153" s="11" customFormat="1" ht="409.5" customHeight="1"/>
    <row r="154" s="11" customFormat="1" ht="409.5" customHeight="1"/>
    <row r="155" s="11" customFormat="1" ht="409.5" customHeight="1"/>
    <row r="156" s="11" customFormat="1" ht="409.5" customHeight="1"/>
    <row r="157" s="11" customFormat="1" ht="409.5" customHeight="1"/>
    <row r="158" s="11" customFormat="1" ht="409.5" customHeight="1"/>
    <row r="159" s="11" customFormat="1" ht="409.5" customHeight="1"/>
    <row r="160" s="11" customFormat="1" ht="409.5" customHeight="1"/>
    <row r="161" s="11" customFormat="1" ht="409.5" customHeight="1"/>
    <row r="162" s="11" customFormat="1" ht="409.5" customHeight="1"/>
    <row r="163" s="11" customFormat="1" ht="409.5" customHeight="1"/>
    <row r="164" s="11" customFormat="1" ht="409.5" customHeight="1"/>
    <row r="165" s="11" customFormat="1" ht="409.5" customHeight="1"/>
    <row r="166" s="11" customFormat="1" ht="409.5" customHeight="1"/>
    <row r="167" s="11" customFormat="1" ht="409.5" customHeight="1"/>
    <row r="168" s="11" customFormat="1" ht="409.5" customHeight="1"/>
    <row r="169" s="11" customFormat="1" ht="409.5" customHeight="1"/>
    <row r="170" s="11" customFormat="1" ht="409.5" customHeight="1"/>
    <row r="171" s="11" customFormat="1" ht="409.5" customHeight="1"/>
    <row r="172" s="11" customFormat="1" ht="409.5" customHeight="1"/>
    <row r="173" s="11" customFormat="1" ht="409.5" customHeight="1"/>
    <row r="174" s="11" customFormat="1" ht="409.5" customHeight="1"/>
    <row r="175" s="11" customFormat="1" ht="409.5" customHeight="1"/>
    <row r="176" s="11" customFormat="1" ht="409.5" customHeight="1"/>
    <row r="177" s="11" customFormat="1" ht="409.5" customHeight="1"/>
    <row r="178" s="11" customFormat="1" ht="409.5" customHeight="1"/>
    <row r="179" s="11" customFormat="1" ht="409.5" customHeight="1"/>
    <row r="180" s="11" customFormat="1" ht="409.5" customHeight="1"/>
    <row r="181" s="11" customFormat="1" ht="409.5" customHeight="1"/>
    <row r="182" s="11" customFormat="1" ht="409.5" customHeight="1"/>
    <row r="183" s="11" customFormat="1" ht="409.5" customHeight="1"/>
    <row r="184" s="11" customFormat="1" ht="409.5" customHeight="1"/>
    <row r="185" s="11" customFormat="1" ht="409.5" customHeight="1"/>
    <row r="186" s="11" customFormat="1" ht="409.5" customHeight="1"/>
    <row r="187" s="11" customFormat="1" ht="409.5" customHeight="1"/>
    <row r="188" s="11" customFormat="1" ht="409.5" customHeight="1"/>
    <row r="189" s="11" customFormat="1" ht="409.5" customHeight="1"/>
    <row r="190" s="11" customFormat="1" ht="409.5" customHeight="1"/>
    <row r="191" s="11" customFormat="1" ht="409.5" customHeight="1"/>
    <row r="192" s="11" customFormat="1" ht="409.5" customHeight="1"/>
    <row r="193" s="11" customFormat="1" ht="409.5" customHeight="1"/>
    <row r="194" s="11" customFormat="1" ht="409.5" customHeight="1"/>
    <row r="195" s="11" customFormat="1" ht="409.5" customHeight="1"/>
    <row r="196" s="11" customFormat="1" ht="409.5" customHeight="1"/>
    <row r="197" s="11" customFormat="1" ht="409.5" customHeight="1"/>
    <row r="198" s="11" customFormat="1" ht="409.5" customHeight="1"/>
    <row r="199" s="11" customFormat="1" ht="409.5" customHeight="1"/>
    <row r="200" s="11" customFormat="1" ht="409.5" customHeight="1"/>
    <row r="201" s="11" customFormat="1" ht="409.5" customHeight="1"/>
    <row r="202" s="11" customFormat="1" ht="409.5" customHeight="1"/>
    <row r="203" s="11" customFormat="1" ht="409.5" customHeight="1"/>
    <row r="204" s="11" customFormat="1" ht="409.5" customHeight="1"/>
    <row r="205" s="11" customFormat="1" ht="409.5" customHeight="1"/>
    <row r="206" s="11" customFormat="1" ht="409.5" customHeight="1"/>
    <row r="207" s="11" customFormat="1" ht="409.5" customHeight="1"/>
    <row r="208" s="11" customFormat="1" ht="409.5" customHeight="1"/>
    <row r="209" s="11" customFormat="1" ht="409.5" customHeight="1"/>
    <row r="210" s="11" customFormat="1" ht="409.5" customHeight="1"/>
    <row r="211" s="11" customFormat="1" ht="409.5" customHeight="1"/>
    <row r="212" s="11" customFormat="1" ht="409.5" customHeight="1"/>
    <row r="213" s="11" customFormat="1" ht="409.5" customHeight="1"/>
    <row r="214" s="11" customFormat="1" ht="409.5" customHeight="1"/>
    <row r="215" s="11" customFormat="1" ht="409.5" customHeight="1"/>
    <row r="216" s="11" customFormat="1" ht="409.5" customHeight="1"/>
    <row r="217" s="11" customFormat="1" ht="409.5" customHeight="1"/>
    <row r="218" s="11" customFormat="1" ht="409.5" customHeight="1"/>
    <row r="219" s="11" customFormat="1" ht="409.5" customHeight="1"/>
    <row r="220" s="11" customFormat="1" ht="409.5" customHeight="1"/>
    <row r="221" s="11" customFormat="1" ht="409.5" customHeight="1"/>
    <row r="222" s="11" customFormat="1" ht="409.5" customHeight="1"/>
    <row r="223" s="11" customFormat="1" ht="409.5" customHeight="1"/>
    <row r="224" s="11" customFormat="1" ht="409.5" customHeight="1"/>
    <row r="225" s="11" customFormat="1" ht="409.5" customHeight="1"/>
    <row r="226" s="11" customFormat="1" ht="409.5" customHeight="1"/>
    <row r="227" s="11" customFormat="1" ht="409.5" customHeight="1"/>
    <row r="228" s="11" customFormat="1" ht="409.5" customHeight="1"/>
    <row r="229" s="11" customFormat="1" ht="409.5" customHeight="1"/>
    <row r="230" s="11" customFormat="1" ht="409.5" customHeight="1"/>
    <row r="231" s="11" customFormat="1" ht="409.5" customHeight="1"/>
    <row r="232" s="11" customFormat="1" ht="409.5" customHeight="1"/>
    <row r="233" s="11" customFormat="1" ht="409.5" customHeight="1"/>
    <row r="234" s="11" customFormat="1" ht="409.5" customHeight="1"/>
    <row r="235" s="11" customFormat="1" ht="409.5" customHeight="1"/>
    <row r="236" s="11" customFormat="1" ht="409.5" customHeight="1"/>
    <row r="237" s="11" customFormat="1" ht="409.5" customHeight="1"/>
    <row r="238" s="11" customFormat="1" ht="409.5" customHeight="1"/>
    <row r="239" s="11" customFormat="1" ht="409.5" customHeight="1"/>
    <row r="240" s="11" customFormat="1" ht="409.5" customHeight="1"/>
    <row r="241" s="11" customFormat="1" ht="409.5" customHeight="1"/>
    <row r="242" s="11" customFormat="1" ht="409.5" customHeight="1"/>
    <row r="243" s="11" customFormat="1" ht="409.5" customHeight="1"/>
    <row r="244" s="11" customFormat="1" ht="409.5" customHeight="1"/>
    <row r="245" s="11" customFormat="1" ht="409.5" customHeight="1"/>
    <row r="246" s="11" customFormat="1" ht="409.5" customHeight="1"/>
    <row r="247" s="11" customFormat="1" ht="409.5" customHeight="1"/>
    <row r="248" s="11" customFormat="1" ht="409.5" customHeight="1"/>
    <row r="249" s="11" customFormat="1" ht="409.5" customHeight="1"/>
    <row r="250" s="11" customFormat="1" ht="409.5" customHeight="1"/>
    <row r="251" s="11" customFormat="1" ht="409.5" customHeight="1"/>
    <row r="252" s="11" customFormat="1" ht="409.5" customHeight="1"/>
    <row r="253" s="11" customFormat="1" ht="409.5" customHeight="1"/>
    <row r="254" s="11" customFormat="1" ht="409.5" customHeight="1"/>
    <row r="255" s="11" customFormat="1" ht="409.5" customHeight="1"/>
    <row r="256" s="11" customFormat="1" ht="409.5" customHeight="1"/>
    <row r="257" s="11" customFormat="1" ht="409.5" customHeight="1"/>
    <row r="258" s="11" customFormat="1" ht="409.5" customHeight="1"/>
    <row r="259" s="11" customFormat="1" ht="409.5" customHeight="1"/>
    <row r="260" s="11" customFormat="1" ht="409.5" customHeight="1"/>
    <row r="261" s="11" customFormat="1" ht="409.5" customHeight="1"/>
    <row r="262" s="11" customFormat="1" ht="409.5" customHeight="1"/>
    <row r="263" s="11" customFormat="1" ht="409.5" customHeight="1"/>
    <row r="264" s="11" customFormat="1" ht="409.5" customHeight="1"/>
    <row r="265" s="11" customFormat="1" ht="409.5" customHeight="1"/>
    <row r="266" s="11" customFormat="1" ht="409.5" customHeight="1"/>
    <row r="267" s="11" customFormat="1" ht="409.5" customHeight="1"/>
    <row r="268" s="11" customFormat="1" ht="409.5" customHeight="1"/>
    <row r="269" s="11" customFormat="1" ht="409.5" customHeight="1"/>
    <row r="270" s="11" customFormat="1" ht="409.5" customHeight="1"/>
    <row r="271" s="11" customFormat="1" ht="409.5" customHeight="1"/>
    <row r="272" s="11" customFormat="1" ht="409.5" customHeight="1"/>
    <row r="273" s="11" customFormat="1" ht="409.5" customHeight="1"/>
    <row r="274" s="11" customFormat="1" ht="409.5" customHeight="1"/>
    <row r="275" s="11" customFormat="1" ht="409.5" customHeight="1"/>
    <row r="276" s="11" customFormat="1" ht="409.5" customHeight="1"/>
    <row r="277" s="11" customFormat="1" ht="409.5" customHeight="1"/>
    <row r="278" s="11" customFormat="1" ht="409.5" customHeight="1"/>
    <row r="279" s="11" customFormat="1" ht="409.5" customHeight="1"/>
    <row r="280" s="11" customFormat="1" ht="409.5" customHeight="1"/>
    <row r="281" s="11" customFormat="1" ht="409.5" customHeight="1"/>
    <row r="282" s="11" customFormat="1" ht="409.5" customHeight="1"/>
    <row r="283" s="11" customFormat="1" ht="409.5" customHeight="1"/>
    <row r="284" s="11" customFormat="1" ht="409.5" customHeight="1"/>
    <row r="285" s="11" customFormat="1" ht="409.5" customHeight="1"/>
    <row r="286" s="11" customFormat="1" ht="409.5" customHeight="1"/>
    <row r="287" s="11" customFormat="1" ht="409.5" customHeight="1"/>
    <row r="288" s="11" customFormat="1" ht="409.5" customHeight="1"/>
    <row r="289" s="11" customFormat="1" ht="409.5" customHeight="1"/>
    <row r="290" s="11" customFormat="1" ht="409.5" customHeight="1"/>
    <row r="291" s="11" customFormat="1" ht="409.5" customHeight="1"/>
    <row r="292" s="11" customFormat="1" ht="409.5" customHeight="1"/>
    <row r="293" s="11" customFormat="1" ht="409.5" customHeight="1"/>
    <row r="294" s="11" customFormat="1" ht="409.5" customHeight="1"/>
    <row r="295" s="11" customFormat="1" ht="409.5" customHeight="1"/>
    <row r="296" s="11" customFormat="1" ht="409.5" customHeight="1"/>
    <row r="297" s="11" customFormat="1" ht="409.5" customHeight="1"/>
    <row r="298" s="11" customFormat="1" ht="409.5" customHeight="1"/>
    <row r="299" s="11" customFormat="1" ht="409.5" customHeight="1"/>
    <row r="300" s="11" customFormat="1" ht="409.5" customHeight="1"/>
    <row r="301" s="11" customFormat="1" ht="409.5" customHeight="1"/>
    <row r="302" s="11" customFormat="1" ht="409.5" customHeight="1"/>
    <row r="303" s="11" customFormat="1" ht="409.5" customHeight="1"/>
    <row r="304" s="11" customFormat="1" ht="409.5" customHeight="1"/>
    <row r="305" s="11" customFormat="1" ht="409.5" customHeight="1"/>
    <row r="306" s="11" customFormat="1" ht="409.5" customHeight="1"/>
    <row r="307" s="11" customFormat="1" ht="409.5" customHeight="1"/>
    <row r="308" s="11" customFormat="1" ht="409.5" customHeight="1"/>
    <row r="309" s="11" customFormat="1" ht="409.5" customHeight="1"/>
    <row r="310" s="11" customFormat="1" ht="409.5" customHeight="1"/>
    <row r="311" s="11" customFormat="1" ht="409.5" customHeight="1"/>
    <row r="312" s="11" customFormat="1" ht="409.5" customHeight="1"/>
    <row r="313" s="11" customFormat="1" ht="409.5" customHeight="1"/>
    <row r="314" s="11" customFormat="1" ht="409.5" customHeight="1"/>
    <row r="315" s="11" customFormat="1" ht="409.5" customHeight="1"/>
    <row r="316" s="11" customFormat="1" ht="409.5" customHeight="1"/>
    <row r="317" s="11" customFormat="1" ht="409.5" customHeight="1"/>
    <row r="318" s="11" customFormat="1" ht="409.5" customHeight="1"/>
    <row r="319" s="11" customFormat="1" ht="409.5" customHeight="1"/>
    <row r="320" s="11" customFormat="1" ht="409.5" customHeight="1"/>
    <row r="321" s="11" customFormat="1" ht="409.5" customHeight="1"/>
    <row r="322" s="11" customFormat="1" ht="409.5" customHeight="1"/>
    <row r="323" s="11" customFormat="1" ht="409.5" customHeight="1"/>
    <row r="324" s="11" customFormat="1" ht="409.5" customHeight="1"/>
    <row r="325" s="11" customFormat="1" ht="409.5" customHeight="1"/>
    <row r="326" s="11" customFormat="1" ht="409.5" customHeight="1"/>
    <row r="327" s="11" customFormat="1" ht="409.5" customHeight="1"/>
    <row r="328" s="11" customFormat="1" ht="409.5" customHeight="1"/>
    <row r="329" s="11" customFormat="1" ht="409.5" customHeight="1"/>
    <row r="330" s="11" customFormat="1" ht="409.5" customHeight="1"/>
    <row r="331" s="11" customFormat="1" ht="409.5" customHeight="1"/>
    <row r="332" s="11" customFormat="1" ht="409.5" customHeight="1"/>
    <row r="333" s="11" customFormat="1" ht="409.5" customHeight="1"/>
    <row r="334" s="11" customFormat="1" ht="409.5" customHeight="1"/>
    <row r="335" s="11" customFormat="1" ht="409.5" customHeight="1"/>
    <row r="336" s="11" customFormat="1" ht="409.5" customHeight="1"/>
    <row r="337" s="11" customFormat="1" ht="409.5" customHeight="1"/>
    <row r="338" s="11" customFormat="1" ht="409.5" customHeight="1"/>
    <row r="339" s="11" customFormat="1" ht="409.5" customHeight="1"/>
    <row r="340" s="11" customFormat="1" ht="409.5" customHeight="1"/>
    <row r="341" s="11" customFormat="1" ht="409.5" customHeight="1"/>
    <row r="342" s="11" customFormat="1" ht="409.5" customHeight="1"/>
    <row r="343" s="11" customFormat="1" ht="409.5" customHeight="1"/>
    <row r="344" s="11" customFormat="1" ht="409.5" customHeight="1"/>
    <row r="345" s="11" customFormat="1" ht="409.5" customHeight="1"/>
    <row r="346" s="11" customFormat="1" ht="409.5" customHeight="1"/>
    <row r="347" s="11" customFormat="1" ht="409.5" customHeight="1"/>
    <row r="348" s="11" customFormat="1" ht="409.5" customHeight="1"/>
    <row r="349" s="11" customFormat="1" ht="409.5" customHeight="1"/>
    <row r="350" s="11" customFormat="1" ht="409.5" customHeight="1"/>
    <row r="351" s="11" customFormat="1" ht="409.5" customHeight="1"/>
    <row r="352" s="11" customFormat="1" ht="409.5" customHeight="1"/>
    <row r="353" s="11" customFormat="1" ht="409.5" customHeight="1"/>
    <row r="354" s="11" customFormat="1" ht="409.5" customHeight="1"/>
    <row r="355" s="11" customFormat="1" ht="409.5" customHeight="1"/>
    <row r="356" s="11" customFormat="1" ht="409.5" customHeight="1"/>
    <row r="357" s="11" customFormat="1" ht="409.5" customHeight="1"/>
    <row r="358" s="11" customFormat="1" ht="409.5" customHeight="1"/>
    <row r="359" s="11" customFormat="1" ht="409.5" customHeight="1"/>
    <row r="360" s="11" customFormat="1" ht="409.5" customHeight="1"/>
    <row r="361" s="11" customFormat="1" ht="409.5" customHeight="1"/>
    <row r="362" s="11" customFormat="1" ht="409.5" customHeight="1"/>
    <row r="363" s="11" customFormat="1" ht="409.5" customHeight="1"/>
    <row r="364" s="11" customFormat="1" ht="409.5" customHeight="1"/>
    <row r="365" s="11" customFormat="1" ht="409.5" customHeight="1"/>
    <row r="366" s="11" customFormat="1" ht="409.5" customHeight="1"/>
    <row r="367" s="11" customFormat="1" ht="409.5" customHeight="1"/>
    <row r="368" s="11" customFormat="1" ht="409.5" customHeight="1"/>
    <row r="369" s="11" customFormat="1" ht="409.5" customHeight="1"/>
    <row r="370" s="11" customFormat="1" ht="409.5" customHeight="1"/>
    <row r="371" s="11" customFormat="1" ht="409.5" customHeight="1"/>
    <row r="372" s="11" customFormat="1" ht="409.5" customHeight="1"/>
    <row r="373" s="11" customFormat="1" ht="409.5" customHeight="1"/>
    <row r="374" s="11" customFormat="1" ht="409.5" customHeight="1"/>
    <row r="375" s="11" customFormat="1" ht="409.5" customHeight="1"/>
    <row r="376" s="11" customFormat="1" ht="409.5" customHeight="1"/>
    <row r="377" s="11" customFormat="1" ht="409.5" customHeight="1"/>
    <row r="378" s="11" customFormat="1" ht="409.5" customHeight="1"/>
    <row r="379" s="11" customFormat="1" ht="409.5" customHeight="1"/>
    <row r="380" s="11" customFormat="1" ht="409.5" customHeight="1"/>
    <row r="381" s="11" customFormat="1" ht="409.5" customHeight="1"/>
    <row r="382" s="11" customFormat="1" ht="409.5" customHeight="1"/>
    <row r="383" s="11" customFormat="1" ht="409.5" customHeight="1"/>
    <row r="384" s="11" customFormat="1" ht="409.5" customHeight="1"/>
    <row r="385" s="11" customFormat="1" ht="409.5" customHeight="1"/>
    <row r="386" s="11" customFormat="1" ht="409.5" customHeight="1"/>
    <row r="387" s="11" customFormat="1" ht="409.5" customHeight="1"/>
    <row r="388" s="11" customFormat="1" ht="409.5" customHeight="1"/>
    <row r="389" s="11" customFormat="1" ht="409.5" customHeight="1"/>
    <row r="390" s="11" customFormat="1" ht="409.5" customHeight="1"/>
    <row r="391" s="11" customFormat="1" ht="409.5" customHeight="1"/>
    <row r="392" s="11" customFormat="1" ht="409.5" customHeight="1"/>
    <row r="393" s="11" customFormat="1" ht="409.5" customHeight="1"/>
    <row r="394" s="11" customFormat="1" ht="409.5" customHeight="1"/>
    <row r="395" s="11" customFormat="1" ht="409.5" customHeight="1"/>
    <row r="396" s="11" customFormat="1" ht="409.5" customHeight="1"/>
    <row r="397" s="11" customFormat="1" ht="409.5" customHeight="1"/>
    <row r="398" s="11" customFormat="1" ht="409.5" customHeight="1"/>
    <row r="399" s="11" customFormat="1" ht="409.5" customHeight="1"/>
    <row r="400" s="11" customFormat="1" ht="409.5" customHeight="1"/>
    <row r="401" s="11" customFormat="1" ht="409.5" customHeight="1"/>
    <row r="402" s="11" customFormat="1" ht="409.5" customHeight="1"/>
    <row r="403" s="11" customFormat="1" ht="409.5" customHeight="1"/>
    <row r="404" s="11" customFormat="1" ht="409.5" customHeight="1"/>
    <row r="405" s="11" customFormat="1" ht="409.5" customHeight="1"/>
    <row r="406" s="11" customFormat="1" ht="409.5" customHeight="1"/>
    <row r="407" s="11" customFormat="1" ht="409.5" customHeight="1"/>
    <row r="408" s="11" customFormat="1" ht="409.5" customHeight="1"/>
    <row r="409" s="11" customFormat="1" ht="409.5" customHeight="1"/>
    <row r="410" s="11" customFormat="1" ht="409.5" customHeight="1"/>
    <row r="411" s="11" customFormat="1" ht="409.5" customHeight="1"/>
    <row r="412" s="11" customFormat="1" ht="409.5" customHeight="1"/>
    <row r="413" s="11" customFormat="1" ht="409.5" customHeight="1"/>
    <row r="414" s="11" customFormat="1" ht="409.5" customHeight="1"/>
    <row r="415" s="11" customFormat="1" ht="409.5" customHeight="1"/>
    <row r="416" s="11" customFormat="1" ht="409.5" customHeight="1"/>
    <row r="417" s="11" customFormat="1" ht="409.5" customHeight="1"/>
    <row r="418" s="11" customFormat="1" ht="409.5" customHeight="1"/>
    <row r="419" s="11" customFormat="1" ht="409.5" customHeight="1"/>
    <row r="420" s="11" customFormat="1" ht="409.5" customHeight="1"/>
    <row r="421" s="11" customFormat="1" ht="409.5" customHeight="1"/>
    <row r="422" s="11" customFormat="1" ht="409.5" customHeight="1"/>
    <row r="423" s="11" customFormat="1" ht="409.5" customHeight="1"/>
    <row r="424" s="11" customFormat="1" ht="409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M106"/>
  <sheetViews>
    <sheetView showGridLines="0" showZeros="0" zoomScalePageLayoutView="0" workbookViewId="0" topLeftCell="A1">
      <selection activeCell="E16" sqref="E16"/>
    </sheetView>
  </sheetViews>
  <sheetFormatPr defaultColWidth="8.7109375" defaultRowHeight="12.75"/>
  <cols>
    <col min="1" max="1" width="28.140625" style="67" customWidth="1"/>
    <col min="2" max="2" width="5.28125" style="442" customWidth="1"/>
    <col min="3" max="13" width="8.421875" style="67" bestFit="1" customWidth="1"/>
    <col min="14" max="16384" width="8.7109375" style="67" customWidth="1"/>
  </cols>
  <sheetData>
    <row r="1" spans="1:13" ht="12.75">
      <c r="A1" s="57"/>
      <c r="B1" s="409"/>
      <c r="C1" s="47"/>
      <c r="D1" s="47"/>
      <c r="E1" s="47"/>
      <c r="F1" s="47"/>
      <c r="G1" s="47"/>
      <c r="H1" s="47"/>
      <c r="I1" s="47"/>
      <c r="J1" s="47"/>
      <c r="K1" s="47"/>
      <c r="L1" s="48" t="s">
        <v>63</v>
      </c>
      <c r="M1" s="49" t="str">
        <f>+Pressupostos!E1</f>
        <v>XPTO SA</v>
      </c>
    </row>
    <row r="2" spans="1:13" ht="12.75">
      <c r="A2" s="57"/>
      <c r="B2" s="409"/>
      <c r="C2" s="57"/>
      <c r="D2" s="57"/>
      <c r="E2" s="57"/>
      <c r="F2" s="57"/>
      <c r="G2" s="57"/>
      <c r="H2" s="57"/>
      <c r="I2" s="57"/>
      <c r="J2" s="57"/>
      <c r="K2" s="57"/>
      <c r="L2" s="57"/>
      <c r="M2" s="52" t="str">
        <f>+Pressupostos!B9</f>
        <v>Euros</v>
      </c>
    </row>
    <row r="3" spans="1:13" ht="12.75">
      <c r="A3" s="57"/>
      <c r="B3" s="409"/>
      <c r="C3" s="57"/>
      <c r="D3" s="57"/>
      <c r="E3" s="57"/>
      <c r="F3" s="57"/>
      <c r="G3" s="57"/>
      <c r="H3" s="57"/>
      <c r="I3" s="57"/>
      <c r="J3" s="57"/>
      <c r="K3" s="57"/>
      <c r="L3" s="57"/>
      <c r="M3" s="52"/>
    </row>
    <row r="4" spans="1:13" ht="15.75">
      <c r="A4" s="508" t="s">
        <v>13</v>
      </c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</row>
    <row r="5" spans="1:13" ht="12.75">
      <c r="A5" s="57"/>
      <c r="B5" s="409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3" ht="12.75">
      <c r="A6" s="57"/>
      <c r="B6" s="409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3" ht="12.75">
      <c r="A7" s="55"/>
      <c r="B7" s="78"/>
      <c r="C7" s="54">
        <f>+VN!C8</f>
        <v>2016</v>
      </c>
      <c r="D7" s="54">
        <f>+VN!D8</f>
        <v>2017</v>
      </c>
      <c r="E7" s="54">
        <f>+VN!E8</f>
        <v>2018</v>
      </c>
      <c r="F7" s="54">
        <f>+VN!F8</f>
        <v>2019</v>
      </c>
      <c r="G7" s="54">
        <f>+VN!G8</f>
        <v>2020</v>
      </c>
      <c r="H7" s="54">
        <f>+VN!H8</f>
        <v>2021</v>
      </c>
      <c r="I7" s="54">
        <f>+VN!I8</f>
        <v>2022</v>
      </c>
      <c r="J7" s="54">
        <f>+VN!J8</f>
        <v>2023</v>
      </c>
      <c r="K7" s="54">
        <f>+VN!K8</f>
        <v>2024</v>
      </c>
      <c r="L7" s="54">
        <f>+VN!L8</f>
        <v>2025</v>
      </c>
      <c r="M7" s="54">
        <f>+VN!M8</f>
        <v>2026</v>
      </c>
    </row>
    <row r="8" spans="1:13" ht="12.75">
      <c r="A8" s="147" t="s">
        <v>371</v>
      </c>
      <c r="B8" s="446"/>
      <c r="C8" s="111">
        <f>Investimento!C29+FundoManeio!C24</f>
        <v>0</v>
      </c>
      <c r="D8" s="111">
        <f>Investimento!D29+FundoManeio!D24</f>
        <v>0</v>
      </c>
      <c r="E8" s="111">
        <f>Investimento!E29+FundoManeio!J24</f>
        <v>0</v>
      </c>
      <c r="F8" s="111">
        <f>Investimento!F29+FundoManeio!K24</f>
        <v>0</v>
      </c>
      <c r="G8" s="111">
        <f>Investimento!G29+FundoManeio!L24</f>
        <v>0</v>
      </c>
      <c r="H8" s="111">
        <f>Investimento!H29+FundoManeio!M24</f>
        <v>0</v>
      </c>
      <c r="I8" s="111">
        <f>Investimento!I29+FundoManeio!N24</f>
        <v>0</v>
      </c>
      <c r="J8" s="111">
        <f>Investimento!J29+FundoManeio!O24</f>
        <v>0</v>
      </c>
      <c r="K8" s="111">
        <f>Investimento!K29+FundoManeio!P24</f>
        <v>0</v>
      </c>
      <c r="L8" s="111">
        <f>Investimento!L29+FundoManeio!Q24</f>
        <v>0</v>
      </c>
      <c r="M8" s="111">
        <f>Investimento!M29+FundoManeio!R24</f>
        <v>0</v>
      </c>
    </row>
    <row r="9" spans="1:13" ht="12.75">
      <c r="A9" s="135" t="s">
        <v>92</v>
      </c>
      <c r="B9" s="446"/>
      <c r="C9" s="449"/>
      <c r="D9" s="449"/>
      <c r="E9" s="449"/>
      <c r="F9" s="449"/>
      <c r="G9" s="449"/>
      <c r="H9" s="449"/>
      <c r="I9" s="449"/>
      <c r="J9" s="449"/>
      <c r="K9" s="449"/>
      <c r="L9" s="449"/>
      <c r="M9" s="449"/>
    </row>
    <row r="10" spans="1:13" ht="13.5" thickBot="1">
      <c r="A10" s="186" t="s">
        <v>93</v>
      </c>
      <c r="B10" s="447"/>
      <c r="C10" s="154">
        <f aca="true" t="shared" si="0" ref="C10:M10">+ROUND(C8*(1+C9),-2)</f>
        <v>0</v>
      </c>
      <c r="D10" s="154">
        <f t="shared" si="0"/>
        <v>0</v>
      </c>
      <c r="E10" s="154">
        <f t="shared" si="0"/>
        <v>0</v>
      </c>
      <c r="F10" s="154">
        <f t="shared" si="0"/>
        <v>0</v>
      </c>
      <c r="G10" s="154">
        <f t="shared" si="0"/>
        <v>0</v>
      </c>
      <c r="H10" s="154">
        <f t="shared" si="0"/>
        <v>0</v>
      </c>
      <c r="I10" s="154">
        <f t="shared" si="0"/>
        <v>0</v>
      </c>
      <c r="J10" s="154">
        <f t="shared" si="0"/>
        <v>0</v>
      </c>
      <c r="K10" s="154">
        <f t="shared" si="0"/>
        <v>0</v>
      </c>
      <c r="L10" s="154">
        <f t="shared" si="0"/>
        <v>0</v>
      </c>
      <c r="M10" s="154">
        <f t="shared" si="0"/>
        <v>0</v>
      </c>
    </row>
    <row r="11" spans="1:13" ht="13.5" thickTop="1">
      <c r="A11" s="57"/>
      <c r="B11" s="409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</row>
    <row r="12" spans="1:13" ht="12.75">
      <c r="A12" s="57"/>
      <c r="B12" s="409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</row>
    <row r="13" spans="1:13" ht="12.75">
      <c r="A13" s="147" t="s">
        <v>163</v>
      </c>
      <c r="B13" s="446"/>
      <c r="C13" s="54">
        <f>+C7</f>
        <v>2016</v>
      </c>
      <c r="D13" s="54">
        <f>+D7</f>
        <v>2017</v>
      </c>
      <c r="E13" s="54">
        <f>+E7</f>
        <v>2018</v>
      </c>
      <c r="F13" s="54">
        <f aca="true" t="shared" si="1" ref="F13:M13">+F7</f>
        <v>2019</v>
      </c>
      <c r="G13" s="54">
        <f t="shared" si="1"/>
        <v>2020</v>
      </c>
      <c r="H13" s="54">
        <f t="shared" si="1"/>
        <v>2021</v>
      </c>
      <c r="I13" s="54">
        <f t="shared" si="1"/>
        <v>2022</v>
      </c>
      <c r="J13" s="54">
        <f t="shared" si="1"/>
        <v>2023</v>
      </c>
      <c r="K13" s="54">
        <f t="shared" si="1"/>
        <v>2024</v>
      </c>
      <c r="L13" s="54">
        <f t="shared" si="1"/>
        <v>2025</v>
      </c>
      <c r="M13" s="54">
        <f t="shared" si="1"/>
        <v>2026</v>
      </c>
    </row>
    <row r="14" spans="1:13" ht="12.75">
      <c r="A14" s="58" t="s">
        <v>111</v>
      </c>
      <c r="B14" s="446"/>
      <c r="C14" s="153">
        <f>IF(+'Cash Flow'!C12&gt;0,'Cash Flow'!C12,0)</f>
        <v>0</v>
      </c>
      <c r="D14" s="153">
        <f>IF(+'Cash Flow'!D12&gt;0,'Cash Flow'!D12,0)</f>
        <v>0</v>
      </c>
      <c r="E14" s="153">
        <f>IF(+'Cash Flow'!E12&gt;0,'Cash Flow'!E12,0)</f>
        <v>0</v>
      </c>
      <c r="F14" s="153">
        <f>IF(+'Cash Flow'!F12&gt;0,'Cash Flow'!F12,0)</f>
        <v>0</v>
      </c>
      <c r="G14" s="153">
        <f>IF(+'Cash Flow'!G12&gt;0,'Cash Flow'!G12,0)</f>
        <v>0</v>
      </c>
      <c r="H14" s="153">
        <f>IF(+'Cash Flow'!H12&gt;0,'Cash Flow'!H12,0)</f>
        <v>0</v>
      </c>
      <c r="I14" s="153">
        <f>IF(+'Cash Flow'!I12&gt;0,'Cash Flow'!I12,0)</f>
        <v>0</v>
      </c>
      <c r="J14" s="153">
        <f>IF(+'Cash Flow'!J12&gt;0,'Cash Flow'!J12,0)</f>
        <v>0</v>
      </c>
      <c r="K14" s="153">
        <f>IF(+'Cash Flow'!K12&gt;0,'Cash Flow'!K12,0)</f>
        <v>0</v>
      </c>
      <c r="L14" s="153">
        <f>IF(+'Cash Flow'!L12&gt;0,'Cash Flow'!L12,0)</f>
        <v>0</v>
      </c>
      <c r="M14" s="153">
        <f>IF(+'Cash Flow'!M12&gt;0,'Cash Flow'!M12,0)</f>
        <v>0</v>
      </c>
    </row>
    <row r="15" spans="1:13" ht="12.75">
      <c r="A15" s="58" t="s">
        <v>347</v>
      </c>
      <c r="B15" s="446"/>
      <c r="C15" s="450"/>
      <c r="D15" s="450"/>
      <c r="E15" s="450"/>
      <c r="F15" s="450"/>
      <c r="G15" s="450"/>
      <c r="H15" s="450"/>
      <c r="I15" s="450"/>
      <c r="J15" s="450"/>
      <c r="K15" s="450"/>
      <c r="L15" s="450"/>
      <c r="M15" s="450"/>
    </row>
    <row r="16" spans="1:13" ht="12.75">
      <c r="A16" s="58" t="s">
        <v>444</v>
      </c>
      <c r="B16" s="446"/>
      <c r="C16" s="450"/>
      <c r="D16" s="450"/>
      <c r="E16" s="450"/>
      <c r="F16" s="450"/>
      <c r="G16" s="450"/>
      <c r="H16" s="450"/>
      <c r="I16" s="450"/>
      <c r="J16" s="450"/>
      <c r="K16" s="450"/>
      <c r="L16" s="450"/>
      <c r="M16" s="450"/>
    </row>
    <row r="17" spans="1:13" ht="12.75">
      <c r="A17" s="58" t="s">
        <v>445</v>
      </c>
      <c r="B17" s="446"/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</row>
    <row r="18" spans="1:13" ht="12.75">
      <c r="A18" s="58" t="s">
        <v>198</v>
      </c>
      <c r="B18" s="78"/>
      <c r="C18" s="451"/>
      <c r="D18" s="451"/>
      <c r="E18" s="451"/>
      <c r="F18" s="451"/>
      <c r="G18" s="451"/>
      <c r="H18" s="451"/>
      <c r="I18" s="451"/>
      <c r="J18" s="451"/>
      <c r="K18" s="451"/>
      <c r="L18" s="451"/>
      <c r="M18" s="451"/>
    </row>
    <row r="19" spans="1:13" ht="12.75">
      <c r="A19" s="342" t="s">
        <v>446</v>
      </c>
      <c r="B19" s="294"/>
      <c r="C19" s="452"/>
      <c r="D19" s="452"/>
      <c r="E19" s="452"/>
      <c r="F19" s="452"/>
      <c r="G19" s="452"/>
      <c r="H19" s="452"/>
      <c r="I19" s="452"/>
      <c r="J19" s="452"/>
      <c r="K19" s="452"/>
      <c r="L19" s="452"/>
      <c r="M19" s="452"/>
    </row>
    <row r="20" spans="1:13" ht="14.25" customHeight="1" thickBot="1">
      <c r="A20" s="517" t="s">
        <v>94</v>
      </c>
      <c r="B20" s="519"/>
      <c r="C20" s="154">
        <f>SUM(C14:C19)</f>
        <v>0</v>
      </c>
      <c r="D20" s="154">
        <f>SUM(D14:D19)</f>
        <v>0</v>
      </c>
      <c r="E20" s="154">
        <f>SUM(E14:E19)</f>
        <v>0</v>
      </c>
      <c r="F20" s="154">
        <f aca="true" t="shared" si="2" ref="F20:M20">SUM(F14:F19)</f>
        <v>0</v>
      </c>
      <c r="G20" s="154">
        <f t="shared" si="2"/>
        <v>0</v>
      </c>
      <c r="H20" s="154">
        <f t="shared" si="2"/>
        <v>0</v>
      </c>
      <c r="I20" s="154">
        <f t="shared" si="2"/>
        <v>0</v>
      </c>
      <c r="J20" s="154">
        <f t="shared" si="2"/>
        <v>0</v>
      </c>
      <c r="K20" s="154">
        <f t="shared" si="2"/>
        <v>0</v>
      </c>
      <c r="L20" s="154">
        <f t="shared" si="2"/>
        <v>0</v>
      </c>
      <c r="M20" s="154">
        <f t="shared" si="2"/>
        <v>0</v>
      </c>
    </row>
    <row r="21" spans="1:13" ht="13.5" thickTop="1">
      <c r="A21" s="57"/>
      <c r="B21" s="409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</row>
    <row r="22" spans="1:13" ht="12.75">
      <c r="A22" s="57" t="s">
        <v>254</v>
      </c>
      <c r="B22" s="453">
        <v>0</v>
      </c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</row>
    <row r="23" spans="1:13" ht="12.75">
      <c r="A23" s="57" t="s">
        <v>255</v>
      </c>
      <c r="B23" s="454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</row>
    <row r="24" spans="1:13" ht="12.75">
      <c r="A24" s="57" t="s">
        <v>410</v>
      </c>
      <c r="B24" s="453">
        <v>0</v>
      </c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</row>
    <row r="25" spans="1:13" ht="12.75">
      <c r="A25" s="57"/>
      <c r="B25" s="409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</row>
    <row r="26" spans="1:13" ht="12.75">
      <c r="A26" s="205">
        <f>+C13</f>
        <v>2016</v>
      </c>
      <c r="B26" s="409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</row>
    <row r="27" spans="1:13" ht="12.75">
      <c r="A27" s="58" t="s">
        <v>199</v>
      </c>
      <c r="B27" s="78"/>
      <c r="C27" s="191">
        <f>+C18</f>
        <v>0</v>
      </c>
      <c r="D27" s="153">
        <f aca="true" t="shared" si="3" ref="D27:M27">+C33</f>
        <v>0</v>
      </c>
      <c r="E27" s="153">
        <f t="shared" si="3"/>
        <v>0</v>
      </c>
      <c r="F27" s="153">
        <f t="shared" si="3"/>
        <v>0</v>
      </c>
      <c r="G27" s="153">
        <f t="shared" si="3"/>
        <v>0</v>
      </c>
      <c r="H27" s="153">
        <f t="shared" si="3"/>
        <v>0</v>
      </c>
      <c r="I27" s="153">
        <f t="shared" si="3"/>
        <v>0</v>
      </c>
      <c r="J27" s="153">
        <f t="shared" si="3"/>
        <v>0</v>
      </c>
      <c r="K27" s="153">
        <f t="shared" si="3"/>
        <v>0</v>
      </c>
      <c r="L27" s="153">
        <f t="shared" si="3"/>
        <v>0</v>
      </c>
      <c r="M27" s="153">
        <f t="shared" si="3"/>
        <v>0</v>
      </c>
    </row>
    <row r="28" spans="1:13" ht="12.75">
      <c r="A28" s="58" t="s">
        <v>10</v>
      </c>
      <c r="B28" s="78"/>
      <c r="C28" s="193">
        <f aca="true" t="shared" si="4" ref="C28:M28">$B$23</f>
        <v>0</v>
      </c>
      <c r="D28" s="193">
        <f t="shared" si="4"/>
        <v>0</v>
      </c>
      <c r="E28" s="193">
        <f t="shared" si="4"/>
        <v>0</v>
      </c>
      <c r="F28" s="193">
        <f t="shared" si="4"/>
        <v>0</v>
      </c>
      <c r="G28" s="193">
        <f t="shared" si="4"/>
        <v>0</v>
      </c>
      <c r="H28" s="193">
        <f t="shared" si="4"/>
        <v>0</v>
      </c>
      <c r="I28" s="193">
        <f t="shared" si="4"/>
        <v>0</v>
      </c>
      <c r="J28" s="193">
        <f t="shared" si="4"/>
        <v>0</v>
      </c>
      <c r="K28" s="193">
        <f t="shared" si="4"/>
        <v>0</v>
      </c>
      <c r="L28" s="193">
        <f t="shared" si="4"/>
        <v>0</v>
      </c>
      <c r="M28" s="193">
        <f t="shared" si="4"/>
        <v>0</v>
      </c>
    </row>
    <row r="29" spans="1:13" ht="12.75">
      <c r="A29" s="58" t="s">
        <v>11</v>
      </c>
      <c r="B29" s="78"/>
      <c r="C29" s="153">
        <f>+C27*C28*FSE!F8/12</f>
        <v>0</v>
      </c>
      <c r="D29" s="153">
        <f aca="true" t="shared" si="5" ref="D29:M29">+D27*D28</f>
        <v>0</v>
      </c>
      <c r="E29" s="153">
        <f t="shared" si="5"/>
        <v>0</v>
      </c>
      <c r="F29" s="153">
        <f t="shared" si="5"/>
        <v>0</v>
      </c>
      <c r="G29" s="153">
        <f t="shared" si="5"/>
        <v>0</v>
      </c>
      <c r="H29" s="153">
        <f t="shared" si="5"/>
        <v>0</v>
      </c>
      <c r="I29" s="153">
        <f t="shared" si="5"/>
        <v>0</v>
      </c>
      <c r="J29" s="153">
        <f t="shared" si="5"/>
        <v>0</v>
      </c>
      <c r="K29" s="153">
        <f t="shared" si="5"/>
        <v>0</v>
      </c>
      <c r="L29" s="153">
        <f t="shared" si="5"/>
        <v>0</v>
      </c>
      <c r="M29" s="153">
        <f t="shared" si="5"/>
        <v>0</v>
      </c>
    </row>
    <row r="30" spans="1:13" ht="12.75">
      <c r="A30" s="58" t="s">
        <v>12</v>
      </c>
      <c r="B30" s="78"/>
      <c r="C30" s="153">
        <f>IF($B24&gt;=0,0,C27/B22)</f>
        <v>0</v>
      </c>
      <c r="D30" s="153">
        <f>IF($B24&gt;=1,0,IF(C27=0,0,+$C$27/$B$22))</f>
        <v>0</v>
      </c>
      <c r="E30" s="153">
        <f>IF(B$24&gt;=2,0,IF(D33&lt;=0,0,+$C$27/$B$22))</f>
        <v>0</v>
      </c>
      <c r="F30" s="153">
        <f>IF($B24&gt;=3,0,IF(E33&lt;=0,0,+$C$27/$B$22))</f>
        <v>0</v>
      </c>
      <c r="G30" s="153">
        <f>IF($B24&gt;=4,0,IF(F33&lt;=0,0,+$C$27/$B$22))</f>
        <v>0</v>
      </c>
      <c r="H30" s="153">
        <f>IF($B24&gt;=5,0,IF(G33&lt;=0,0,+$C$27/$B$22))</f>
        <v>0</v>
      </c>
      <c r="I30" s="153">
        <f>IF($B24&gt;=6,0,IF(H33&lt;=0,0,+$C$27/$B$22))</f>
        <v>0</v>
      </c>
      <c r="J30" s="153">
        <f>IF($B24&gt;=7,0,IF(I33&lt;=0,0,+$C$27/$B$22))</f>
        <v>0</v>
      </c>
      <c r="K30" s="153">
        <f>IF($B24&gt;=8,0,IF(J33&lt;=0,0,+$C$27/$B$22))</f>
        <v>0</v>
      </c>
      <c r="L30" s="153">
        <f>IF($B24&gt;=9,0,IF(K33&lt;=0,0,+$C$27/$B$22))</f>
        <v>0</v>
      </c>
      <c r="M30" s="153">
        <f>IF($B24&gt;=10,0,IF(L33&lt;=0,0,+$C$27/$B$22))</f>
        <v>0</v>
      </c>
    </row>
    <row r="31" spans="1:13" ht="12.75">
      <c r="A31" s="58" t="s">
        <v>169</v>
      </c>
      <c r="B31" s="78"/>
      <c r="C31" s="153">
        <f>+C29*0.004</f>
        <v>0</v>
      </c>
      <c r="D31" s="153">
        <f>+D29*0.004</f>
        <v>0</v>
      </c>
      <c r="E31" s="153">
        <f>+E29*0.004</f>
        <v>0</v>
      </c>
      <c r="F31" s="153">
        <f aca="true" t="shared" si="6" ref="F31:M31">+F29*0.004</f>
        <v>0</v>
      </c>
      <c r="G31" s="153">
        <f t="shared" si="6"/>
        <v>0</v>
      </c>
      <c r="H31" s="153">
        <f t="shared" si="6"/>
        <v>0</v>
      </c>
      <c r="I31" s="153">
        <f t="shared" si="6"/>
        <v>0</v>
      </c>
      <c r="J31" s="153">
        <f t="shared" si="6"/>
        <v>0</v>
      </c>
      <c r="K31" s="153">
        <f t="shared" si="6"/>
        <v>0</v>
      </c>
      <c r="L31" s="153">
        <f t="shared" si="6"/>
        <v>0</v>
      </c>
      <c r="M31" s="153">
        <f t="shared" si="6"/>
        <v>0</v>
      </c>
    </row>
    <row r="32" spans="1:13" ht="12.75">
      <c r="A32" s="58" t="s">
        <v>201</v>
      </c>
      <c r="B32" s="78"/>
      <c r="C32" s="153">
        <f>+C29+C30+C31</f>
        <v>0</v>
      </c>
      <c r="D32" s="153">
        <f>+D29+D30+D31</f>
        <v>0</v>
      </c>
      <c r="E32" s="153">
        <f>+E29+E30+E31</f>
        <v>0</v>
      </c>
      <c r="F32" s="153">
        <f aca="true" t="shared" si="7" ref="F32:M32">+F29+F30+F31</f>
        <v>0</v>
      </c>
      <c r="G32" s="153">
        <f t="shared" si="7"/>
        <v>0</v>
      </c>
      <c r="H32" s="153">
        <f t="shared" si="7"/>
        <v>0</v>
      </c>
      <c r="I32" s="153">
        <f t="shared" si="7"/>
        <v>0</v>
      </c>
      <c r="J32" s="153">
        <f t="shared" si="7"/>
        <v>0</v>
      </c>
      <c r="K32" s="153">
        <f t="shared" si="7"/>
        <v>0</v>
      </c>
      <c r="L32" s="153">
        <f t="shared" si="7"/>
        <v>0</v>
      </c>
      <c r="M32" s="153">
        <f t="shared" si="7"/>
        <v>0</v>
      </c>
    </row>
    <row r="33" spans="1:13" ht="12.75">
      <c r="A33" s="58" t="s">
        <v>200</v>
      </c>
      <c r="B33" s="78"/>
      <c r="C33" s="195">
        <f>+C27-C30</f>
        <v>0</v>
      </c>
      <c r="D33" s="153">
        <f>+D27-D30</f>
        <v>0</v>
      </c>
      <c r="E33" s="153">
        <f>+E27-E30</f>
        <v>0</v>
      </c>
      <c r="F33" s="153">
        <f aca="true" t="shared" si="8" ref="F33:M33">+F27-F30</f>
        <v>0</v>
      </c>
      <c r="G33" s="153">
        <f t="shared" si="8"/>
        <v>0</v>
      </c>
      <c r="H33" s="153">
        <f t="shared" si="8"/>
        <v>0</v>
      </c>
      <c r="I33" s="153">
        <f t="shared" si="8"/>
        <v>0</v>
      </c>
      <c r="J33" s="153">
        <f t="shared" si="8"/>
        <v>0</v>
      </c>
      <c r="K33" s="153">
        <f t="shared" si="8"/>
        <v>0</v>
      </c>
      <c r="L33" s="153">
        <f t="shared" si="8"/>
        <v>0</v>
      </c>
      <c r="M33" s="153">
        <f t="shared" si="8"/>
        <v>0</v>
      </c>
    </row>
    <row r="34" spans="1:13" ht="12.75">
      <c r="A34" s="57"/>
      <c r="B34" s="409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</row>
    <row r="35" spans="1:13" ht="12.75">
      <c r="A35" s="57" t="s">
        <v>254</v>
      </c>
      <c r="B35" s="453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</row>
    <row r="36" spans="1:13" ht="12.75">
      <c r="A36" s="57" t="s">
        <v>255</v>
      </c>
      <c r="B36" s="454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</row>
    <row r="37" spans="1:13" ht="12.75">
      <c r="A37" s="57" t="s">
        <v>410</v>
      </c>
      <c r="B37" s="453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</row>
    <row r="38" spans="1:13" ht="12.75">
      <c r="A38" s="57"/>
      <c r="B38" s="409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</row>
    <row r="39" spans="1:13" ht="12.75">
      <c r="A39" s="205">
        <f>+D13</f>
        <v>2017</v>
      </c>
      <c r="B39" s="409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</row>
    <row r="40" spans="1:13" ht="12.75">
      <c r="A40" s="58" t="s">
        <v>199</v>
      </c>
      <c r="B40" s="78"/>
      <c r="C40" s="191"/>
      <c r="D40" s="153">
        <f>+D18</f>
        <v>0</v>
      </c>
      <c r="E40" s="153">
        <f>+D46</f>
        <v>0</v>
      </c>
      <c r="F40" s="153">
        <f aca="true" t="shared" si="9" ref="F40:M40">+E46</f>
        <v>0</v>
      </c>
      <c r="G40" s="153">
        <f t="shared" si="9"/>
        <v>0</v>
      </c>
      <c r="H40" s="153">
        <f t="shared" si="9"/>
        <v>0</v>
      </c>
      <c r="I40" s="153">
        <f t="shared" si="9"/>
        <v>0</v>
      </c>
      <c r="J40" s="153">
        <f t="shared" si="9"/>
        <v>0</v>
      </c>
      <c r="K40" s="153">
        <f t="shared" si="9"/>
        <v>0</v>
      </c>
      <c r="L40" s="153">
        <f t="shared" si="9"/>
        <v>0</v>
      </c>
      <c r="M40" s="153">
        <f t="shared" si="9"/>
        <v>0</v>
      </c>
    </row>
    <row r="41" spans="1:13" ht="12.75">
      <c r="A41" s="58" t="s">
        <v>10</v>
      </c>
      <c r="B41" s="78"/>
      <c r="C41" s="192"/>
      <c r="D41" s="193">
        <f>$B$36</f>
        <v>0</v>
      </c>
      <c r="E41" s="193">
        <f>$B$36</f>
        <v>0</v>
      </c>
      <c r="F41" s="193">
        <f aca="true" t="shared" si="10" ref="F41:M41">$B$36</f>
        <v>0</v>
      </c>
      <c r="G41" s="193">
        <f t="shared" si="10"/>
        <v>0</v>
      </c>
      <c r="H41" s="193">
        <f t="shared" si="10"/>
        <v>0</v>
      </c>
      <c r="I41" s="193">
        <f t="shared" si="10"/>
        <v>0</v>
      </c>
      <c r="J41" s="193">
        <f t="shared" si="10"/>
        <v>0</v>
      </c>
      <c r="K41" s="193">
        <f t="shared" si="10"/>
        <v>0</v>
      </c>
      <c r="L41" s="193">
        <f t="shared" si="10"/>
        <v>0</v>
      </c>
      <c r="M41" s="193">
        <f t="shared" si="10"/>
        <v>0</v>
      </c>
    </row>
    <row r="42" spans="1:13" ht="12.75">
      <c r="A42" s="58" t="s">
        <v>11</v>
      </c>
      <c r="B42" s="78"/>
      <c r="C42" s="194"/>
      <c r="D42" s="153">
        <f>+D40*D41</f>
        <v>0</v>
      </c>
      <c r="E42" s="153">
        <f>+E40*E41</f>
        <v>0</v>
      </c>
      <c r="F42" s="153">
        <f aca="true" t="shared" si="11" ref="F42:M42">+F40*F41</f>
        <v>0</v>
      </c>
      <c r="G42" s="153">
        <f t="shared" si="11"/>
        <v>0</v>
      </c>
      <c r="H42" s="153">
        <f t="shared" si="11"/>
        <v>0</v>
      </c>
      <c r="I42" s="153">
        <f t="shared" si="11"/>
        <v>0</v>
      </c>
      <c r="J42" s="153">
        <f t="shared" si="11"/>
        <v>0</v>
      </c>
      <c r="K42" s="153">
        <f t="shared" si="11"/>
        <v>0</v>
      </c>
      <c r="L42" s="153">
        <f t="shared" si="11"/>
        <v>0</v>
      </c>
      <c r="M42" s="153">
        <f t="shared" si="11"/>
        <v>0</v>
      </c>
    </row>
    <row r="43" spans="1:13" ht="12.75">
      <c r="A43" s="58" t="s">
        <v>12</v>
      </c>
      <c r="B43" s="78"/>
      <c r="C43" s="194"/>
      <c r="D43" s="153">
        <f>IF($B37&gt;=0,0,D40/$B35)</f>
        <v>0</v>
      </c>
      <c r="E43" s="153">
        <f>IF($B37&gt;=1,0,IF(D46&lt;=0,0,+$D$40/$B$35))</f>
        <v>0</v>
      </c>
      <c r="F43" s="153">
        <f>IF($B37&gt;=2,0,IF(E46&lt;=0,0,+$D$40/$B$35))</f>
        <v>0</v>
      </c>
      <c r="G43" s="153">
        <f>IF($B37&gt;=3,0,IF(F46&lt;=0,0,+$D$40/$B$35))</f>
        <v>0</v>
      </c>
      <c r="H43" s="153">
        <f>IF($B37&gt;=4,0,IF(G46&lt;=0,0,+$D$40/$B$35))</f>
        <v>0</v>
      </c>
      <c r="I43" s="153">
        <f>IF($B37&gt;=5,0,IF(H46&lt;=0,0,+$D$40/$B$35))</f>
        <v>0</v>
      </c>
      <c r="J43" s="153">
        <f>IF($B37&gt;=6,0,IF(I46&lt;=0,0,+$D$40/$B$35))</f>
        <v>0</v>
      </c>
      <c r="K43" s="153">
        <f>IF($B37&gt;=7,0,IF(J46&lt;=0,0,+$D$40/$B$35))</f>
        <v>0</v>
      </c>
      <c r="L43" s="153">
        <f>IF($B37&gt;=8,0,IF(K46&lt;=0,0,+$D$40/$B$35))</f>
        <v>0</v>
      </c>
      <c r="M43" s="153">
        <f>IF($B37&gt;=9,0,IF(L46&lt;=0,0,+$D$40/$B$35))</f>
        <v>0</v>
      </c>
    </row>
    <row r="44" spans="1:13" ht="12.75">
      <c r="A44" s="58" t="s">
        <v>169</v>
      </c>
      <c r="B44" s="78"/>
      <c r="C44" s="194"/>
      <c r="D44" s="153">
        <f>0.004*D42</f>
        <v>0</v>
      </c>
      <c r="E44" s="153">
        <f>0.004*E42</f>
        <v>0</v>
      </c>
      <c r="F44" s="153">
        <f aca="true" t="shared" si="12" ref="F44:M44">0.004*F42</f>
        <v>0</v>
      </c>
      <c r="G44" s="153">
        <f t="shared" si="12"/>
        <v>0</v>
      </c>
      <c r="H44" s="153">
        <f t="shared" si="12"/>
        <v>0</v>
      </c>
      <c r="I44" s="153">
        <f t="shared" si="12"/>
        <v>0</v>
      </c>
      <c r="J44" s="153">
        <f t="shared" si="12"/>
        <v>0</v>
      </c>
      <c r="K44" s="153">
        <f t="shared" si="12"/>
        <v>0</v>
      </c>
      <c r="L44" s="153">
        <f t="shared" si="12"/>
        <v>0</v>
      </c>
      <c r="M44" s="153">
        <f t="shared" si="12"/>
        <v>0</v>
      </c>
    </row>
    <row r="45" spans="1:13" ht="12.75">
      <c r="A45" s="58" t="s">
        <v>201</v>
      </c>
      <c r="B45" s="78"/>
      <c r="C45" s="194"/>
      <c r="D45" s="153">
        <f>+D42+D43+D44</f>
        <v>0</v>
      </c>
      <c r="E45" s="153">
        <f>+E42+E43+E44</f>
        <v>0</v>
      </c>
      <c r="F45" s="153">
        <f aca="true" t="shared" si="13" ref="F45:M45">+F42+F43+F44</f>
        <v>0</v>
      </c>
      <c r="G45" s="153">
        <f t="shared" si="13"/>
        <v>0</v>
      </c>
      <c r="H45" s="153">
        <f t="shared" si="13"/>
        <v>0</v>
      </c>
      <c r="I45" s="153">
        <f t="shared" si="13"/>
        <v>0</v>
      </c>
      <c r="J45" s="153">
        <f t="shared" si="13"/>
        <v>0</v>
      </c>
      <c r="K45" s="153">
        <f t="shared" si="13"/>
        <v>0</v>
      </c>
      <c r="L45" s="153">
        <f t="shared" si="13"/>
        <v>0</v>
      </c>
      <c r="M45" s="153">
        <f t="shared" si="13"/>
        <v>0</v>
      </c>
    </row>
    <row r="46" spans="1:13" ht="12.75">
      <c r="A46" s="58" t="s">
        <v>200</v>
      </c>
      <c r="B46" s="78"/>
      <c r="C46" s="196"/>
      <c r="D46" s="153">
        <f>+D40-D43</f>
        <v>0</v>
      </c>
      <c r="E46" s="153">
        <f>+E40-E43</f>
        <v>0</v>
      </c>
      <c r="F46" s="153">
        <f aca="true" t="shared" si="14" ref="F46:M46">+F40-F43</f>
        <v>0</v>
      </c>
      <c r="G46" s="153">
        <f t="shared" si="14"/>
        <v>0</v>
      </c>
      <c r="H46" s="153">
        <f t="shared" si="14"/>
        <v>0</v>
      </c>
      <c r="I46" s="153">
        <f t="shared" si="14"/>
        <v>0</v>
      </c>
      <c r="J46" s="153">
        <f t="shared" si="14"/>
        <v>0</v>
      </c>
      <c r="K46" s="153">
        <f t="shared" si="14"/>
        <v>0</v>
      </c>
      <c r="L46" s="153">
        <f t="shared" si="14"/>
        <v>0</v>
      </c>
      <c r="M46" s="153">
        <f t="shared" si="14"/>
        <v>0</v>
      </c>
    </row>
    <row r="47" spans="1:13" ht="12.75">
      <c r="A47" s="57"/>
      <c r="B47" s="409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</row>
    <row r="48" spans="1:13" ht="12.75">
      <c r="A48" s="57" t="s">
        <v>254</v>
      </c>
      <c r="B48" s="453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</row>
    <row r="49" spans="1:13" ht="12.75">
      <c r="A49" s="57" t="s">
        <v>255</v>
      </c>
      <c r="B49" s="454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</row>
    <row r="50" spans="1:13" ht="12.75">
      <c r="A50" s="57" t="s">
        <v>410</v>
      </c>
      <c r="B50" s="453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</row>
    <row r="51" spans="1:13" ht="12.75">
      <c r="A51" s="57"/>
      <c r="B51" s="409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</row>
    <row r="52" spans="1:13" ht="12.75">
      <c r="A52" s="205">
        <f>+E13</f>
        <v>2018</v>
      </c>
      <c r="B52" s="409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</row>
    <row r="53" spans="1:13" ht="12.75">
      <c r="A53" s="58" t="s">
        <v>199</v>
      </c>
      <c r="B53" s="78"/>
      <c r="C53" s="197">
        <f>+C42</f>
        <v>0</v>
      </c>
      <c r="D53" s="203"/>
      <c r="E53" s="153">
        <f>+E18</f>
        <v>0</v>
      </c>
      <c r="F53" s="153">
        <f>+E59</f>
        <v>0</v>
      </c>
      <c r="G53" s="153">
        <f aca="true" t="shared" si="15" ref="G53:M53">+F59</f>
        <v>0</v>
      </c>
      <c r="H53" s="153">
        <f t="shared" si="15"/>
        <v>0</v>
      </c>
      <c r="I53" s="153">
        <f t="shared" si="15"/>
        <v>0</v>
      </c>
      <c r="J53" s="153">
        <f t="shared" si="15"/>
        <v>0</v>
      </c>
      <c r="K53" s="153">
        <f t="shared" si="15"/>
        <v>0</v>
      </c>
      <c r="L53" s="153">
        <f t="shared" si="15"/>
        <v>0</v>
      </c>
      <c r="M53" s="153">
        <f t="shared" si="15"/>
        <v>0</v>
      </c>
    </row>
    <row r="54" spans="1:13" ht="12.75">
      <c r="A54" s="58" t="s">
        <v>10</v>
      </c>
      <c r="B54" s="78"/>
      <c r="C54" s="199"/>
      <c r="D54" s="200"/>
      <c r="E54" s="193">
        <f>$B$49</f>
        <v>0</v>
      </c>
      <c r="F54" s="193">
        <f aca="true" t="shared" si="16" ref="F54:M54">$B$49</f>
        <v>0</v>
      </c>
      <c r="G54" s="193">
        <f t="shared" si="16"/>
        <v>0</v>
      </c>
      <c r="H54" s="193">
        <f t="shared" si="16"/>
        <v>0</v>
      </c>
      <c r="I54" s="193">
        <f t="shared" si="16"/>
        <v>0</v>
      </c>
      <c r="J54" s="193">
        <f t="shared" si="16"/>
        <v>0</v>
      </c>
      <c r="K54" s="193">
        <f t="shared" si="16"/>
        <v>0</v>
      </c>
      <c r="L54" s="193">
        <f t="shared" si="16"/>
        <v>0</v>
      </c>
      <c r="M54" s="193">
        <f t="shared" si="16"/>
        <v>0</v>
      </c>
    </row>
    <row r="55" spans="1:13" ht="12.75">
      <c r="A55" s="58" t="s">
        <v>11</v>
      </c>
      <c r="B55" s="78"/>
      <c r="C55" s="201"/>
      <c r="D55" s="202"/>
      <c r="E55" s="153">
        <f>+E53*E54</f>
        <v>0</v>
      </c>
      <c r="F55" s="195">
        <f>+F53*F54</f>
        <v>0</v>
      </c>
      <c r="G55" s="195">
        <f aca="true" t="shared" si="17" ref="G55:M55">+G53*G54</f>
        <v>0</v>
      </c>
      <c r="H55" s="195">
        <f t="shared" si="17"/>
        <v>0</v>
      </c>
      <c r="I55" s="195">
        <f t="shared" si="17"/>
        <v>0</v>
      </c>
      <c r="J55" s="195">
        <f t="shared" si="17"/>
        <v>0</v>
      </c>
      <c r="K55" s="195">
        <f t="shared" si="17"/>
        <v>0</v>
      </c>
      <c r="L55" s="195">
        <f t="shared" si="17"/>
        <v>0</v>
      </c>
      <c r="M55" s="195">
        <f t="shared" si="17"/>
        <v>0</v>
      </c>
    </row>
    <row r="56" spans="1:13" ht="12.75">
      <c r="A56" s="58" t="s">
        <v>12</v>
      </c>
      <c r="B56" s="78"/>
      <c r="C56" s="201"/>
      <c r="D56" s="202"/>
      <c r="E56" s="153">
        <f>IF(B50&gt;=0,0,E53/$B$48)</f>
        <v>0</v>
      </c>
      <c r="F56" s="153">
        <f>IF($B50&gt;=1,0,IF(E59&lt;=0,0,$E$53/$B$48))</f>
        <v>0</v>
      </c>
      <c r="G56" s="153">
        <f>IF($B50&gt;=2,0,IF(F59&lt;=0,0,$E$53/$B$48))</f>
        <v>0</v>
      </c>
      <c r="H56" s="153">
        <f>IF($B50&gt;=3,0,IF(G59&lt;=0,0,$E$53/$B$48))</f>
        <v>0</v>
      </c>
      <c r="I56" s="153">
        <f>IF($B50&gt;=4,0,IF(H59&lt;=0,0,$E$53/$B$48))</f>
        <v>0</v>
      </c>
      <c r="J56" s="153">
        <f>IF($B50&gt;=5,0,IF(I59&lt;=0,0,$E$53/$B$48))</f>
        <v>0</v>
      </c>
      <c r="K56" s="153">
        <f>IF($B50&gt;=6,0,IF(J59&lt;=0,0,$E$53/$B$48))</f>
        <v>0</v>
      </c>
      <c r="L56" s="153">
        <f>IF($B50&gt;=7,0,IF(K59&lt;=0,0,$E$53/$B$48))</f>
        <v>0</v>
      </c>
      <c r="M56" s="153">
        <f>IF($B50&gt;=81,0,IF(L59&lt;=0,0,$E$53/$B$48))</f>
        <v>0</v>
      </c>
    </row>
    <row r="57" spans="1:13" ht="12.75">
      <c r="A57" s="58" t="s">
        <v>169</v>
      </c>
      <c r="B57" s="78"/>
      <c r="C57" s="201"/>
      <c r="D57" s="202"/>
      <c r="E57" s="153">
        <f>0.004*E55</f>
        <v>0</v>
      </c>
      <c r="F57" s="195">
        <f>0.004*F55</f>
        <v>0</v>
      </c>
      <c r="G57" s="195">
        <f aca="true" t="shared" si="18" ref="G57:M57">0.004*G55</f>
        <v>0</v>
      </c>
      <c r="H57" s="195">
        <f t="shared" si="18"/>
        <v>0</v>
      </c>
      <c r="I57" s="195">
        <f t="shared" si="18"/>
        <v>0</v>
      </c>
      <c r="J57" s="195">
        <f t="shared" si="18"/>
        <v>0</v>
      </c>
      <c r="K57" s="195">
        <f t="shared" si="18"/>
        <v>0</v>
      </c>
      <c r="L57" s="195">
        <f t="shared" si="18"/>
        <v>0</v>
      </c>
      <c r="M57" s="195">
        <f t="shared" si="18"/>
        <v>0</v>
      </c>
    </row>
    <row r="58" spans="1:13" ht="12.75">
      <c r="A58" s="58" t="s">
        <v>201</v>
      </c>
      <c r="B58" s="78"/>
      <c r="C58" s="201"/>
      <c r="D58" s="202"/>
      <c r="E58" s="153">
        <f>+E55+E56+E57</f>
        <v>0</v>
      </c>
      <c r="F58" s="195">
        <f>+F55+F56+F57</f>
        <v>0</v>
      </c>
      <c r="G58" s="195">
        <f aca="true" t="shared" si="19" ref="G58:M58">+G55+G56+G57</f>
        <v>0</v>
      </c>
      <c r="H58" s="195">
        <f t="shared" si="19"/>
        <v>0</v>
      </c>
      <c r="I58" s="195">
        <f t="shared" si="19"/>
        <v>0</v>
      </c>
      <c r="J58" s="195">
        <f t="shared" si="19"/>
        <v>0</v>
      </c>
      <c r="K58" s="195">
        <f t="shared" si="19"/>
        <v>0</v>
      </c>
      <c r="L58" s="195">
        <f t="shared" si="19"/>
        <v>0</v>
      </c>
      <c r="M58" s="195">
        <f t="shared" si="19"/>
        <v>0</v>
      </c>
    </row>
    <row r="59" spans="1:13" ht="12.75">
      <c r="A59" s="58" t="s">
        <v>61</v>
      </c>
      <c r="B59" s="78"/>
      <c r="C59" s="196"/>
      <c r="D59" s="202"/>
      <c r="E59" s="153">
        <f>+E53-E56</f>
        <v>0</v>
      </c>
      <c r="F59" s="195">
        <f>+F53-F56</f>
        <v>0</v>
      </c>
      <c r="G59" s="195">
        <f aca="true" t="shared" si="20" ref="G59:M59">+G53-G56</f>
        <v>0</v>
      </c>
      <c r="H59" s="195">
        <f t="shared" si="20"/>
        <v>0</v>
      </c>
      <c r="I59" s="195">
        <f t="shared" si="20"/>
        <v>0</v>
      </c>
      <c r="J59" s="195">
        <f t="shared" si="20"/>
        <v>0</v>
      </c>
      <c r="K59" s="195">
        <f t="shared" si="20"/>
        <v>0</v>
      </c>
      <c r="L59" s="195">
        <f t="shared" si="20"/>
        <v>0</v>
      </c>
      <c r="M59" s="195">
        <f t="shared" si="20"/>
        <v>0</v>
      </c>
    </row>
    <row r="60" spans="1:13" ht="12.75">
      <c r="A60" s="57"/>
      <c r="B60" s="409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</row>
    <row r="61" spans="1:13" ht="12.75">
      <c r="A61" s="57" t="s">
        <v>254</v>
      </c>
      <c r="B61" s="453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</row>
    <row r="62" spans="1:13" ht="12.75">
      <c r="A62" s="57" t="s">
        <v>255</v>
      </c>
      <c r="B62" s="454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</row>
    <row r="63" spans="1:13" ht="12.75">
      <c r="A63" s="57" t="s">
        <v>410</v>
      </c>
      <c r="B63" s="453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</row>
    <row r="64" spans="1:13" ht="12.75">
      <c r="A64" s="57"/>
      <c r="B64" s="448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</row>
    <row r="65" spans="1:13" ht="12.75">
      <c r="A65" s="205">
        <f>+F13</f>
        <v>2019</v>
      </c>
      <c r="B65" s="409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</row>
    <row r="66" spans="1:13" ht="12.75">
      <c r="A66" s="58" t="s">
        <v>199</v>
      </c>
      <c r="B66" s="78"/>
      <c r="C66" s="197">
        <f>+C55</f>
        <v>0</v>
      </c>
      <c r="D66" s="203"/>
      <c r="E66" s="198"/>
      <c r="F66" s="153">
        <f>+F18</f>
        <v>0</v>
      </c>
      <c r="G66" s="153">
        <f aca="true" t="shared" si="21" ref="G66:M66">+F72</f>
        <v>0</v>
      </c>
      <c r="H66" s="153">
        <f t="shared" si="21"/>
        <v>0</v>
      </c>
      <c r="I66" s="153">
        <f>+H72</f>
        <v>0</v>
      </c>
      <c r="J66" s="153">
        <f>+I72</f>
        <v>0</v>
      </c>
      <c r="K66" s="153">
        <f>+J72</f>
        <v>0</v>
      </c>
      <c r="L66" s="153">
        <f t="shared" si="21"/>
        <v>0</v>
      </c>
      <c r="M66" s="153">
        <f t="shared" si="21"/>
        <v>0</v>
      </c>
    </row>
    <row r="67" spans="1:13" ht="12.75">
      <c r="A67" s="58" t="s">
        <v>10</v>
      </c>
      <c r="B67" s="78"/>
      <c r="C67" s="199"/>
      <c r="D67" s="200"/>
      <c r="E67" s="200"/>
      <c r="F67" s="193">
        <f aca="true" t="shared" si="22" ref="F67:M67">$B$62</f>
        <v>0</v>
      </c>
      <c r="G67" s="193">
        <f t="shared" si="22"/>
        <v>0</v>
      </c>
      <c r="H67" s="193">
        <f t="shared" si="22"/>
        <v>0</v>
      </c>
      <c r="I67" s="193">
        <f t="shared" si="22"/>
        <v>0</v>
      </c>
      <c r="J67" s="193">
        <f t="shared" si="22"/>
        <v>0</v>
      </c>
      <c r="K67" s="193">
        <f t="shared" si="22"/>
        <v>0</v>
      </c>
      <c r="L67" s="193">
        <f t="shared" si="22"/>
        <v>0</v>
      </c>
      <c r="M67" s="193">
        <f t="shared" si="22"/>
        <v>0</v>
      </c>
    </row>
    <row r="68" spans="1:13" ht="12.75">
      <c r="A68" s="58" t="s">
        <v>11</v>
      </c>
      <c r="B68" s="78"/>
      <c r="C68" s="201"/>
      <c r="D68" s="202"/>
      <c r="E68" s="202"/>
      <c r="F68" s="153">
        <f>+F66*F67</f>
        <v>0</v>
      </c>
      <c r="G68" s="153">
        <f aca="true" t="shared" si="23" ref="G68:M68">+G66*G67</f>
        <v>0</v>
      </c>
      <c r="H68" s="195">
        <f t="shared" si="23"/>
        <v>0</v>
      </c>
      <c r="I68" s="195">
        <f t="shared" si="23"/>
        <v>0</v>
      </c>
      <c r="J68" s="195">
        <f t="shared" si="23"/>
        <v>0</v>
      </c>
      <c r="K68" s="195">
        <f t="shared" si="23"/>
        <v>0</v>
      </c>
      <c r="L68" s="195">
        <f t="shared" si="23"/>
        <v>0</v>
      </c>
      <c r="M68" s="195">
        <f t="shared" si="23"/>
        <v>0</v>
      </c>
    </row>
    <row r="69" spans="1:13" ht="12.75">
      <c r="A69" s="58" t="s">
        <v>12</v>
      </c>
      <c r="B69" s="78"/>
      <c r="C69" s="201"/>
      <c r="D69" s="202"/>
      <c r="E69" s="202"/>
      <c r="F69" s="153">
        <f>IF(B63&gt;=0,0,+F66/B61)</f>
        <v>0</v>
      </c>
      <c r="G69" s="195">
        <f>IF($B63&gt;=1,0,IF(F72&lt;=0,0,$F$66/$B$61))</f>
        <v>0</v>
      </c>
      <c r="H69" s="195">
        <f>IF($B63&gt;=2,0,IF(G72&lt;=0,0,$F$66/$B$61))</f>
        <v>0</v>
      </c>
      <c r="I69" s="195">
        <f>IF($B63&gt;=3,0,IF(H72&lt;=0,0,$F$66/$B$61))</f>
        <v>0</v>
      </c>
      <c r="J69" s="195">
        <f>IF($B63&gt;=4,0,IF(I72&lt;=0,0,$F$66/$B$61))</f>
        <v>0</v>
      </c>
      <c r="K69" s="195">
        <f>IF($B63&gt;=5,0,IF(J72&lt;=0,0,$F$66/$B$61))</f>
        <v>0</v>
      </c>
      <c r="L69" s="195">
        <f>IF($B63&gt;=6,0,IF(K72&lt;=0,0,$F$66/$B$61))</f>
        <v>0</v>
      </c>
      <c r="M69" s="195">
        <f>IF($B63&gt;=7,0,IF(L72&lt;=0,0,$F$66/$B$61))</f>
        <v>0</v>
      </c>
    </row>
    <row r="70" spans="1:13" ht="12.75">
      <c r="A70" s="58" t="s">
        <v>169</v>
      </c>
      <c r="B70" s="78"/>
      <c r="C70" s="201"/>
      <c r="D70" s="202"/>
      <c r="E70" s="202"/>
      <c r="F70" s="153">
        <f>+F68*0.004</f>
        <v>0</v>
      </c>
      <c r="G70" s="153">
        <f aca="true" t="shared" si="24" ref="G70:M70">+G68*0.004</f>
        <v>0</v>
      </c>
      <c r="H70" s="195">
        <f t="shared" si="24"/>
        <v>0</v>
      </c>
      <c r="I70" s="195">
        <f t="shared" si="24"/>
        <v>0</v>
      </c>
      <c r="J70" s="195">
        <f t="shared" si="24"/>
        <v>0</v>
      </c>
      <c r="K70" s="195">
        <f t="shared" si="24"/>
        <v>0</v>
      </c>
      <c r="L70" s="195">
        <f t="shared" si="24"/>
        <v>0</v>
      </c>
      <c r="M70" s="195">
        <f t="shared" si="24"/>
        <v>0</v>
      </c>
    </row>
    <row r="71" spans="1:13" ht="12.75">
      <c r="A71" s="58" t="s">
        <v>201</v>
      </c>
      <c r="B71" s="78"/>
      <c r="C71" s="201"/>
      <c r="D71" s="202"/>
      <c r="E71" s="202"/>
      <c r="F71" s="153">
        <f>+F68+F69+F70</f>
        <v>0</v>
      </c>
      <c r="G71" s="153">
        <f aca="true" t="shared" si="25" ref="G71:M71">+G68+G69+G70</f>
        <v>0</v>
      </c>
      <c r="H71" s="195">
        <f t="shared" si="25"/>
        <v>0</v>
      </c>
      <c r="I71" s="195">
        <f t="shared" si="25"/>
        <v>0</v>
      </c>
      <c r="J71" s="195">
        <f t="shared" si="25"/>
        <v>0</v>
      </c>
      <c r="K71" s="195">
        <f t="shared" si="25"/>
        <v>0</v>
      </c>
      <c r="L71" s="195">
        <f t="shared" si="25"/>
        <v>0</v>
      </c>
      <c r="M71" s="195">
        <f t="shared" si="25"/>
        <v>0</v>
      </c>
    </row>
    <row r="72" spans="1:13" ht="12.75">
      <c r="A72" s="58" t="s">
        <v>200</v>
      </c>
      <c r="B72" s="78"/>
      <c r="C72" s="196"/>
      <c r="D72" s="202"/>
      <c r="E72" s="202"/>
      <c r="F72" s="153">
        <f>+F66-F69</f>
        <v>0</v>
      </c>
      <c r="G72" s="153">
        <f aca="true" t="shared" si="26" ref="G72:M72">+G66-G69</f>
        <v>0</v>
      </c>
      <c r="H72" s="153">
        <f t="shared" si="26"/>
        <v>0</v>
      </c>
      <c r="I72" s="153">
        <f t="shared" si="26"/>
        <v>0</v>
      </c>
      <c r="J72" s="153">
        <f t="shared" si="26"/>
        <v>0</v>
      </c>
      <c r="K72" s="153">
        <f t="shared" si="26"/>
        <v>0</v>
      </c>
      <c r="L72" s="195">
        <f t="shared" si="26"/>
        <v>0</v>
      </c>
      <c r="M72" s="195">
        <f t="shared" si="26"/>
        <v>0</v>
      </c>
    </row>
    <row r="73" spans="1:13" ht="12.75">
      <c r="A73" s="57"/>
      <c r="B73" s="409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</row>
    <row r="74" spans="1:13" ht="12.75">
      <c r="A74" s="57" t="s">
        <v>254</v>
      </c>
      <c r="B74" s="453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</row>
    <row r="75" spans="1:13" ht="12.75">
      <c r="A75" s="57" t="s">
        <v>255</v>
      </c>
      <c r="B75" s="454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</row>
    <row r="76" spans="1:13" ht="12.75">
      <c r="A76" s="57" t="s">
        <v>410</v>
      </c>
      <c r="B76" s="453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</row>
    <row r="77" spans="1:13" ht="12.75">
      <c r="A77" s="57"/>
      <c r="B77" s="409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</row>
    <row r="78" spans="1:13" ht="12.75">
      <c r="A78" s="205">
        <f>+G13</f>
        <v>2020</v>
      </c>
      <c r="B78" s="409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</row>
    <row r="79" spans="1:13" ht="12.75">
      <c r="A79" s="58" t="s">
        <v>199</v>
      </c>
      <c r="B79" s="78"/>
      <c r="C79" s="197">
        <f>+C68</f>
        <v>0</v>
      </c>
      <c r="D79" s="203"/>
      <c r="E79" s="202"/>
      <c r="F79" s="202"/>
      <c r="G79" s="153">
        <f>+G18</f>
        <v>0</v>
      </c>
      <c r="H79" s="153">
        <f aca="true" t="shared" si="27" ref="H79:M79">+G85</f>
        <v>0</v>
      </c>
      <c r="I79" s="153">
        <f t="shared" si="27"/>
        <v>0</v>
      </c>
      <c r="J79" s="153">
        <f t="shared" si="27"/>
        <v>0</v>
      </c>
      <c r="K79" s="153">
        <f t="shared" si="27"/>
        <v>0</v>
      </c>
      <c r="L79" s="153">
        <f t="shared" si="27"/>
        <v>0</v>
      </c>
      <c r="M79" s="153">
        <f t="shared" si="27"/>
        <v>0</v>
      </c>
    </row>
    <row r="80" spans="1:13" ht="12.75">
      <c r="A80" s="58" t="s">
        <v>10</v>
      </c>
      <c r="B80" s="78"/>
      <c r="C80" s="199"/>
      <c r="D80" s="200"/>
      <c r="E80" s="200"/>
      <c r="F80" s="200"/>
      <c r="G80" s="193">
        <f aca="true" t="shared" si="28" ref="G80:M80">$B$75</f>
        <v>0</v>
      </c>
      <c r="H80" s="193">
        <f t="shared" si="28"/>
        <v>0</v>
      </c>
      <c r="I80" s="193">
        <f t="shared" si="28"/>
        <v>0</v>
      </c>
      <c r="J80" s="193">
        <f t="shared" si="28"/>
        <v>0</v>
      </c>
      <c r="K80" s="193">
        <f t="shared" si="28"/>
        <v>0</v>
      </c>
      <c r="L80" s="193">
        <f t="shared" si="28"/>
        <v>0</v>
      </c>
      <c r="M80" s="193">
        <f t="shared" si="28"/>
        <v>0</v>
      </c>
    </row>
    <row r="81" spans="1:13" ht="12.75">
      <c r="A81" s="58" t="s">
        <v>11</v>
      </c>
      <c r="B81" s="78"/>
      <c r="C81" s="201"/>
      <c r="D81" s="202"/>
      <c r="E81" s="202"/>
      <c r="F81" s="202"/>
      <c r="G81" s="153">
        <f>+G79*G80</f>
        <v>0</v>
      </c>
      <c r="H81" s="153">
        <f aca="true" t="shared" si="29" ref="H81:M81">+H79*H80</f>
        <v>0</v>
      </c>
      <c r="I81" s="153">
        <f t="shared" si="29"/>
        <v>0</v>
      </c>
      <c r="J81" s="153">
        <f t="shared" si="29"/>
        <v>0</v>
      </c>
      <c r="K81" s="153">
        <f t="shared" si="29"/>
        <v>0</v>
      </c>
      <c r="L81" s="153">
        <f t="shared" si="29"/>
        <v>0</v>
      </c>
      <c r="M81" s="153">
        <f t="shared" si="29"/>
        <v>0</v>
      </c>
    </row>
    <row r="82" spans="1:13" ht="12.75">
      <c r="A82" s="58" t="s">
        <v>12</v>
      </c>
      <c r="B82" s="78"/>
      <c r="C82" s="201"/>
      <c r="D82" s="202"/>
      <c r="E82" s="202"/>
      <c r="F82" s="202"/>
      <c r="G82" s="153">
        <f>IF(B76&gt;=0,0,+G79/B74)</f>
        <v>0</v>
      </c>
      <c r="H82" s="195">
        <f>IF($B76&gt;=1,0,IF(G85&lt;=0,0,$G$79/$B$74))</f>
        <v>0</v>
      </c>
      <c r="I82" s="195">
        <f>IF($B76&gt;=2,0,IF(H85&lt;=0,0,$G$79/$B$74))</f>
        <v>0</v>
      </c>
      <c r="J82" s="195">
        <f>IF($B76&gt;=3,0,IF(I85&lt;=0,0,$G$79/$B$74))</f>
        <v>0</v>
      </c>
      <c r="K82" s="195">
        <f>IF($B76&gt;=4,0,IF(J85&lt;=0,0,$G$79/$B$74))</f>
        <v>0</v>
      </c>
      <c r="L82" s="195">
        <f>IF($B76&gt;=5,0,IF(K85&lt;=0,0,$G$79/$B$74))</f>
        <v>0</v>
      </c>
      <c r="M82" s="195">
        <f>IF($B76&gt;=6,0,IF(L85&lt;=0,0,$G$79/$B$74))</f>
        <v>0</v>
      </c>
    </row>
    <row r="83" spans="1:13" ht="12.75">
      <c r="A83" s="58" t="s">
        <v>169</v>
      </c>
      <c r="B83" s="78"/>
      <c r="C83" s="201"/>
      <c r="D83" s="202"/>
      <c r="E83" s="202"/>
      <c r="F83" s="202"/>
      <c r="G83" s="153">
        <f>+G81*0.004</f>
        <v>0</v>
      </c>
      <c r="H83" s="153">
        <f aca="true" t="shared" si="30" ref="H83:M83">+H81*0.004</f>
        <v>0</v>
      </c>
      <c r="I83" s="195">
        <f t="shared" si="30"/>
        <v>0</v>
      </c>
      <c r="J83" s="153">
        <f t="shared" si="30"/>
        <v>0</v>
      </c>
      <c r="K83" s="195">
        <f t="shared" si="30"/>
        <v>0</v>
      </c>
      <c r="L83" s="153">
        <f t="shared" si="30"/>
        <v>0</v>
      </c>
      <c r="M83" s="195">
        <f t="shared" si="30"/>
        <v>0</v>
      </c>
    </row>
    <row r="84" spans="1:13" ht="12.75">
      <c r="A84" s="58" t="s">
        <v>201</v>
      </c>
      <c r="B84" s="78"/>
      <c r="C84" s="201"/>
      <c r="D84" s="202"/>
      <c r="E84" s="202"/>
      <c r="F84" s="202"/>
      <c r="G84" s="153">
        <f>+G81+G82+G83</f>
        <v>0</v>
      </c>
      <c r="H84" s="153">
        <f aca="true" t="shared" si="31" ref="H84:M84">+H81+H82+H83</f>
        <v>0</v>
      </c>
      <c r="I84" s="195">
        <f t="shared" si="31"/>
        <v>0</v>
      </c>
      <c r="J84" s="153">
        <f t="shared" si="31"/>
        <v>0</v>
      </c>
      <c r="K84" s="195">
        <f t="shared" si="31"/>
        <v>0</v>
      </c>
      <c r="L84" s="153">
        <f t="shared" si="31"/>
        <v>0</v>
      </c>
      <c r="M84" s="195">
        <f t="shared" si="31"/>
        <v>0</v>
      </c>
    </row>
    <row r="85" spans="1:13" ht="12.75">
      <c r="A85" s="58" t="s">
        <v>200</v>
      </c>
      <c r="B85" s="78"/>
      <c r="C85" s="196"/>
      <c r="D85" s="202"/>
      <c r="E85" s="202"/>
      <c r="F85" s="202"/>
      <c r="G85" s="153">
        <f>+G79-G82</f>
        <v>0</v>
      </c>
      <c r="H85" s="153">
        <f aca="true" t="shared" si="32" ref="H85:M85">+H79-H82</f>
        <v>0</v>
      </c>
      <c r="I85" s="153">
        <f t="shared" si="32"/>
        <v>0</v>
      </c>
      <c r="J85" s="153">
        <f t="shared" si="32"/>
        <v>0</v>
      </c>
      <c r="K85" s="153">
        <f t="shared" si="32"/>
        <v>0</v>
      </c>
      <c r="L85" s="153">
        <f t="shared" si="32"/>
        <v>0</v>
      </c>
      <c r="M85" s="153">
        <f t="shared" si="32"/>
        <v>0</v>
      </c>
    </row>
    <row r="86" spans="1:13" ht="12.75">
      <c r="A86" s="57"/>
      <c r="B86" s="409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</row>
    <row r="87" spans="1:13" ht="12.75">
      <c r="A87" s="57" t="s">
        <v>254</v>
      </c>
      <c r="B87" s="453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</row>
    <row r="88" spans="1:13" ht="12.75">
      <c r="A88" s="57" t="s">
        <v>255</v>
      </c>
      <c r="B88" s="454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</row>
    <row r="89" spans="1:13" ht="12.75">
      <c r="A89" s="57" t="s">
        <v>410</v>
      </c>
      <c r="B89" s="453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</row>
    <row r="90" spans="1:13" ht="12.75">
      <c r="A90" s="57"/>
      <c r="B90" s="448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</row>
    <row r="91" spans="1:13" ht="12.75">
      <c r="A91" s="205">
        <f>+H13</f>
        <v>2021</v>
      </c>
      <c r="B91" s="409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</row>
    <row r="92" spans="1:13" ht="12.75">
      <c r="A92" s="58" t="s">
        <v>199</v>
      </c>
      <c r="B92" s="78"/>
      <c r="C92" s="197">
        <f>+C81</f>
        <v>0</v>
      </c>
      <c r="D92" s="203"/>
      <c r="E92" s="203"/>
      <c r="F92" s="203"/>
      <c r="G92" s="203"/>
      <c r="H92" s="153">
        <f>+H18</f>
        <v>0</v>
      </c>
      <c r="I92" s="153">
        <f>+H98</f>
        <v>0</v>
      </c>
      <c r="J92" s="153">
        <f>+I98</f>
        <v>0</v>
      </c>
      <c r="K92" s="153">
        <f>+J98</f>
        <v>0</v>
      </c>
      <c r="L92" s="153">
        <f>+K98</f>
        <v>0</v>
      </c>
      <c r="M92" s="153">
        <f>+L98</f>
        <v>0</v>
      </c>
    </row>
    <row r="93" spans="1:13" ht="12.75">
      <c r="A93" s="58" t="s">
        <v>10</v>
      </c>
      <c r="B93" s="78"/>
      <c r="C93" s="199"/>
      <c r="D93" s="200"/>
      <c r="E93" s="200"/>
      <c r="F93" s="200"/>
      <c r="G93" s="200"/>
      <c r="H93" s="193">
        <f aca="true" t="shared" si="33" ref="H93:M93">$B$88</f>
        <v>0</v>
      </c>
      <c r="I93" s="193">
        <f t="shared" si="33"/>
        <v>0</v>
      </c>
      <c r="J93" s="193">
        <f t="shared" si="33"/>
        <v>0</v>
      </c>
      <c r="K93" s="193">
        <f t="shared" si="33"/>
        <v>0</v>
      </c>
      <c r="L93" s="193">
        <f t="shared" si="33"/>
        <v>0</v>
      </c>
      <c r="M93" s="193">
        <f t="shared" si="33"/>
        <v>0</v>
      </c>
    </row>
    <row r="94" spans="1:13" ht="12.75">
      <c r="A94" s="58" t="s">
        <v>11</v>
      </c>
      <c r="B94" s="78"/>
      <c r="C94" s="201"/>
      <c r="D94" s="202"/>
      <c r="E94" s="202"/>
      <c r="F94" s="202"/>
      <c r="G94" s="202"/>
      <c r="H94" s="153">
        <f aca="true" t="shared" si="34" ref="H94:M94">+H92*H93</f>
        <v>0</v>
      </c>
      <c r="I94" s="153">
        <f t="shared" si="34"/>
        <v>0</v>
      </c>
      <c r="J94" s="153">
        <f t="shared" si="34"/>
        <v>0</v>
      </c>
      <c r="K94" s="153">
        <f t="shared" si="34"/>
        <v>0</v>
      </c>
      <c r="L94" s="153">
        <f t="shared" si="34"/>
        <v>0</v>
      </c>
      <c r="M94" s="153">
        <f t="shared" si="34"/>
        <v>0</v>
      </c>
    </row>
    <row r="95" spans="1:13" ht="12.75">
      <c r="A95" s="58" t="s">
        <v>12</v>
      </c>
      <c r="B95" s="78"/>
      <c r="C95" s="201"/>
      <c r="D95" s="202"/>
      <c r="E95" s="202"/>
      <c r="F95" s="202"/>
      <c r="G95" s="202"/>
      <c r="H95" s="153">
        <f>IF(B89&gt;=0,0,+H92/B87)</f>
        <v>0</v>
      </c>
      <c r="I95" s="195">
        <f>IF($B89&gt;=1,0,IF(H98&lt;=0,0,$H$92/B87))</f>
        <v>0</v>
      </c>
      <c r="J95" s="195">
        <f>IF($B89&gt;=2,0,IF(I98&lt;=0,0,$H$92/$B87))</f>
        <v>0</v>
      </c>
      <c r="K95" s="195">
        <f>IF($B89&gt;=3,0,IF(J98&lt;=0,0,$H$92/$B87))</f>
        <v>0</v>
      </c>
      <c r="L95" s="195">
        <f>IF($B89&gt;=4,0,IF(K98&lt;=0,0,$H$92/$B87))</f>
        <v>0</v>
      </c>
      <c r="M95" s="195">
        <f>IF($B89&gt;=5,0,IF(L98&lt;=0,0,$H$92/$B87))</f>
        <v>0</v>
      </c>
    </row>
    <row r="96" spans="1:13" ht="12.75">
      <c r="A96" s="58" t="s">
        <v>169</v>
      </c>
      <c r="B96" s="78"/>
      <c r="C96" s="201"/>
      <c r="D96" s="202"/>
      <c r="E96" s="202"/>
      <c r="F96" s="202"/>
      <c r="G96" s="202"/>
      <c r="H96" s="153">
        <f aca="true" t="shared" si="35" ref="H96:M96">0.004*H94</f>
        <v>0</v>
      </c>
      <c r="I96" s="153">
        <f t="shared" si="35"/>
        <v>0</v>
      </c>
      <c r="J96" s="153">
        <f t="shared" si="35"/>
        <v>0</v>
      </c>
      <c r="K96" s="153">
        <f t="shared" si="35"/>
        <v>0</v>
      </c>
      <c r="L96" s="153">
        <f t="shared" si="35"/>
        <v>0</v>
      </c>
      <c r="M96" s="153">
        <f t="shared" si="35"/>
        <v>0</v>
      </c>
    </row>
    <row r="97" spans="1:13" ht="12.75">
      <c r="A97" s="58" t="s">
        <v>201</v>
      </c>
      <c r="B97" s="78"/>
      <c r="C97" s="201"/>
      <c r="D97" s="202"/>
      <c r="E97" s="202"/>
      <c r="F97" s="202"/>
      <c r="G97" s="202"/>
      <c r="H97" s="153">
        <f aca="true" t="shared" si="36" ref="H97:M97">+H94+H95+H96</f>
        <v>0</v>
      </c>
      <c r="I97" s="153">
        <f t="shared" si="36"/>
        <v>0</v>
      </c>
      <c r="J97" s="153">
        <f t="shared" si="36"/>
        <v>0</v>
      </c>
      <c r="K97" s="153">
        <f t="shared" si="36"/>
        <v>0</v>
      </c>
      <c r="L97" s="153">
        <f t="shared" si="36"/>
        <v>0</v>
      </c>
      <c r="M97" s="153">
        <f t="shared" si="36"/>
        <v>0</v>
      </c>
    </row>
    <row r="98" spans="1:13" ht="12.75">
      <c r="A98" s="58" t="s">
        <v>200</v>
      </c>
      <c r="B98" s="78"/>
      <c r="C98" s="196"/>
      <c r="D98" s="202"/>
      <c r="E98" s="202"/>
      <c r="F98" s="202"/>
      <c r="G98" s="202"/>
      <c r="H98" s="153">
        <f aca="true" t="shared" si="37" ref="H98:M98">+H92-H95</f>
        <v>0</v>
      </c>
      <c r="I98" s="153">
        <f t="shared" si="37"/>
        <v>0</v>
      </c>
      <c r="J98" s="153">
        <f t="shared" si="37"/>
        <v>0</v>
      </c>
      <c r="K98" s="153">
        <f t="shared" si="37"/>
        <v>0</v>
      </c>
      <c r="L98" s="153">
        <f t="shared" si="37"/>
        <v>0</v>
      </c>
      <c r="M98" s="153">
        <f t="shared" si="37"/>
        <v>0</v>
      </c>
    </row>
    <row r="99" spans="1:13" ht="12.75">
      <c r="A99" s="57"/>
      <c r="B99" s="409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</row>
    <row r="100" spans="1:13" ht="12.75">
      <c r="A100" s="57"/>
      <c r="B100" s="409"/>
      <c r="C100" s="57"/>
      <c r="D100" s="204"/>
      <c r="E100" s="57"/>
      <c r="F100" s="57"/>
      <c r="G100" s="57"/>
      <c r="H100" s="57"/>
      <c r="I100" s="57"/>
      <c r="J100" s="57"/>
      <c r="K100" s="57"/>
      <c r="L100" s="57"/>
      <c r="M100" s="57"/>
    </row>
    <row r="101" spans="1:13" ht="12.75">
      <c r="A101" s="147" t="s">
        <v>202</v>
      </c>
      <c r="B101" s="446"/>
      <c r="C101" s="111">
        <f>+C33+C46+C59+C72+C85+C98</f>
        <v>0</v>
      </c>
      <c r="D101" s="111">
        <f>+D33+D46+D59+D72+D85+D98</f>
        <v>0</v>
      </c>
      <c r="E101" s="111">
        <f>+E33+E46+E59+E72+E85+E98</f>
        <v>0</v>
      </c>
      <c r="F101" s="111">
        <f aca="true" t="shared" si="38" ref="F101:M101">+F33+F46+F59+F72+F85+F98</f>
        <v>0</v>
      </c>
      <c r="G101" s="111">
        <f t="shared" si="38"/>
        <v>0</v>
      </c>
      <c r="H101" s="111">
        <f t="shared" si="38"/>
        <v>0</v>
      </c>
      <c r="I101" s="111">
        <f t="shared" si="38"/>
        <v>0</v>
      </c>
      <c r="J101" s="111">
        <f t="shared" si="38"/>
        <v>0</v>
      </c>
      <c r="K101" s="111">
        <f t="shared" si="38"/>
        <v>0</v>
      </c>
      <c r="L101" s="111">
        <f t="shared" si="38"/>
        <v>0</v>
      </c>
      <c r="M101" s="111">
        <f t="shared" si="38"/>
        <v>0</v>
      </c>
    </row>
    <row r="102" spans="1:13" ht="12.75">
      <c r="A102" s="57"/>
      <c r="B102" s="409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</row>
    <row r="103" spans="1:13" ht="12.75">
      <c r="A103" s="147" t="s">
        <v>203</v>
      </c>
      <c r="B103" s="446"/>
      <c r="C103" s="111">
        <f>+C29+C42+C55+C68+C81+C94+C31+C44+C57+C70+C83+C96</f>
        <v>0</v>
      </c>
      <c r="D103" s="111">
        <f>+D29+D42+D55+D68+D81+D94+D31+D44+D57+D70+D83+D96</f>
        <v>0</v>
      </c>
      <c r="E103" s="111">
        <f>+E29+E42+E55+E68+E81+E94+E31+E44+E57+E70+E83+E96</f>
        <v>0</v>
      </c>
      <c r="F103" s="111">
        <f aca="true" t="shared" si="39" ref="F103:M103">+F29+F42+F55+F68+F81+F94+F31+F44+F57+F70+F83+F96</f>
        <v>0</v>
      </c>
      <c r="G103" s="111">
        <f t="shared" si="39"/>
        <v>0</v>
      </c>
      <c r="H103" s="111">
        <f t="shared" si="39"/>
        <v>0</v>
      </c>
      <c r="I103" s="111">
        <f t="shared" si="39"/>
        <v>0</v>
      </c>
      <c r="J103" s="111">
        <f t="shared" si="39"/>
        <v>0</v>
      </c>
      <c r="K103" s="111">
        <f t="shared" si="39"/>
        <v>0</v>
      </c>
      <c r="L103" s="111">
        <f t="shared" si="39"/>
        <v>0</v>
      </c>
      <c r="M103" s="111">
        <f t="shared" si="39"/>
        <v>0</v>
      </c>
    </row>
    <row r="104" spans="1:13" ht="12.75">
      <c r="A104" s="147" t="s">
        <v>115</v>
      </c>
      <c r="B104" s="446"/>
      <c r="C104" s="111">
        <f>+C30+C43+C56+C69+C82+C95</f>
        <v>0</v>
      </c>
      <c r="D104" s="111">
        <f>+D30+D43+D56+D69+D82+D95</f>
        <v>0</v>
      </c>
      <c r="E104" s="111">
        <f>+E30+E43+E56+E69+E82+E95</f>
        <v>0</v>
      </c>
      <c r="F104" s="111">
        <f aca="true" t="shared" si="40" ref="F104:M104">+F30+F43+F56+F69+F82+F95</f>
        <v>0</v>
      </c>
      <c r="G104" s="111">
        <f t="shared" si="40"/>
        <v>0</v>
      </c>
      <c r="H104" s="111">
        <f t="shared" si="40"/>
        <v>0</v>
      </c>
      <c r="I104" s="111">
        <f t="shared" si="40"/>
        <v>0</v>
      </c>
      <c r="J104" s="111">
        <f t="shared" si="40"/>
        <v>0</v>
      </c>
      <c r="K104" s="111">
        <f t="shared" si="40"/>
        <v>0</v>
      </c>
      <c r="L104" s="111">
        <f t="shared" si="40"/>
        <v>0</v>
      </c>
      <c r="M104" s="111">
        <f t="shared" si="40"/>
        <v>0</v>
      </c>
    </row>
    <row r="106" spans="5:13" ht="12.75">
      <c r="E106" s="164"/>
      <c r="F106" s="164"/>
      <c r="G106" s="164"/>
      <c r="H106" s="164"/>
      <c r="I106" s="164"/>
      <c r="J106" s="164"/>
      <c r="K106" s="164"/>
      <c r="L106" s="164"/>
      <c r="M106" s="164"/>
    </row>
  </sheetData>
  <sheetProtection password="8318" sheet="1"/>
  <mergeCells count="2">
    <mergeCell ref="A4:M4"/>
    <mergeCell ref="A20:B20"/>
  </mergeCells>
  <printOptions horizontalCentered="1"/>
  <pageMargins left="0.15748031496062992" right="0.15748031496062992" top="0.3937007874015748" bottom="0.3937007874015748" header="0.31496062992125984" footer="0.1968503937007874"/>
  <pageSetup horizontalDpi="600" verticalDpi="600" orientation="portrait" paperSize="9" scale="75" r:id="rId2"/>
  <headerFooter alignWithMargins="0">
    <oddFooter>&amp;C&amp;"Arial,Normal"&amp;8IAPMEI&amp;R&amp;"Arial,Normal"&amp;8&amp;P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L13"/>
  <sheetViews>
    <sheetView showGridLines="0" showZeros="0" zoomScalePageLayoutView="0" workbookViewId="0" topLeftCell="A1">
      <selection activeCell="D28" sqref="D28"/>
    </sheetView>
  </sheetViews>
  <sheetFormatPr defaultColWidth="8.7109375" defaultRowHeight="12.75"/>
  <cols>
    <col min="1" max="1" width="29.421875" style="67" customWidth="1"/>
    <col min="2" max="12" width="9.28125" style="67" customWidth="1"/>
    <col min="13" max="16384" width="8.7109375" style="67" customWidth="1"/>
  </cols>
  <sheetData>
    <row r="1" spans="1:12" ht="12.75">
      <c r="A1" s="57"/>
      <c r="B1" s="57"/>
      <c r="C1" s="91"/>
      <c r="D1" s="47"/>
      <c r="E1" s="47"/>
      <c r="F1" s="47"/>
      <c r="G1" s="47"/>
      <c r="H1" s="47"/>
      <c r="I1" s="47"/>
      <c r="J1" s="47"/>
      <c r="K1" s="93" t="s">
        <v>63</v>
      </c>
      <c r="L1" s="93" t="str">
        <f>+Pressupostos!E1</f>
        <v>XPTO SA</v>
      </c>
    </row>
    <row r="2" spans="1:12" ht="12.7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2" t="str">
        <f>+Pressupostos!B9</f>
        <v>Euros</v>
      </c>
    </row>
    <row r="3" spans="1:12" ht="12.7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2"/>
    </row>
    <row r="4" spans="1:12" ht="15.75">
      <c r="A4" s="508" t="s">
        <v>404</v>
      </c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</row>
    <row r="5" spans="1:12" ht="12.75">
      <c r="A5" s="57"/>
      <c r="B5" s="146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12.75">
      <c r="A6" s="57"/>
      <c r="B6" s="206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 ht="12.75">
      <c r="A7" s="135"/>
      <c r="B7" s="54">
        <f>+VN!C8</f>
        <v>2016</v>
      </c>
      <c r="C7" s="54">
        <f>+VN!D8</f>
        <v>2017</v>
      </c>
      <c r="D7" s="54">
        <f>+VN!E8</f>
        <v>2018</v>
      </c>
      <c r="E7" s="54">
        <f>+VN!F8</f>
        <v>2019</v>
      </c>
      <c r="F7" s="54">
        <f>+VN!G8</f>
        <v>2020</v>
      </c>
      <c r="G7" s="54">
        <f>+VN!H8</f>
        <v>2021</v>
      </c>
      <c r="H7" s="54">
        <f>+VN!I8</f>
        <v>2022</v>
      </c>
      <c r="I7" s="54">
        <f>+VN!J8</f>
        <v>2023</v>
      </c>
      <c r="J7" s="54">
        <f>+VN!K8</f>
        <v>2024</v>
      </c>
      <c r="K7" s="54">
        <f>+VN!L8</f>
        <v>2025</v>
      </c>
      <c r="L7" s="54">
        <f>+VN!M8</f>
        <v>2026</v>
      </c>
    </row>
    <row r="8" spans="1:12" ht="12.75">
      <c r="A8" s="123" t="str">
        <f>'DR'!A8</f>
        <v>Vendas e serviços prestados</v>
      </c>
      <c r="B8" s="381">
        <f>'DR'!B8</f>
        <v>0</v>
      </c>
      <c r="C8" s="381">
        <f>'DR'!C8</f>
        <v>0</v>
      </c>
      <c r="D8" s="381">
        <f>'DR'!D8</f>
        <v>0</v>
      </c>
      <c r="E8" s="381">
        <f>'DR'!E8</f>
        <v>0</v>
      </c>
      <c r="F8" s="381">
        <f>'DR'!F8</f>
        <v>0</v>
      </c>
      <c r="G8" s="381">
        <f>'DR'!G8</f>
        <v>0</v>
      </c>
      <c r="H8" s="381">
        <f>'DR'!H8</f>
        <v>0</v>
      </c>
      <c r="I8" s="381">
        <f>'DR'!I8</f>
        <v>0</v>
      </c>
      <c r="J8" s="381">
        <f>'DR'!J8</f>
        <v>0</v>
      </c>
      <c r="K8" s="381">
        <f>'DR'!K8</f>
        <v>0</v>
      </c>
      <c r="L8" s="381">
        <f>'DR'!L8</f>
        <v>0</v>
      </c>
    </row>
    <row r="9" spans="1:12" ht="12.75">
      <c r="A9" s="135" t="str">
        <f>'DR'!A11</f>
        <v>Variação nos inventários da produção</v>
      </c>
      <c r="B9" s="381">
        <f>'DR'!B11</f>
        <v>0</v>
      </c>
      <c r="C9" s="381">
        <f>'DR'!C11</f>
        <v>0</v>
      </c>
      <c r="D9" s="381">
        <f>'DR'!D11</f>
        <v>0</v>
      </c>
      <c r="E9" s="381">
        <f>'DR'!E11</f>
        <v>0</v>
      </c>
      <c r="F9" s="381">
        <f>'DR'!F11</f>
        <v>0</v>
      </c>
      <c r="G9" s="381">
        <f>'DR'!G11</f>
        <v>0</v>
      </c>
      <c r="H9" s="381">
        <f>'DR'!H11</f>
        <v>0</v>
      </c>
      <c r="I9" s="381">
        <f>'DR'!I11</f>
        <v>0</v>
      </c>
      <c r="J9" s="381">
        <f>'DR'!J11</f>
        <v>0</v>
      </c>
      <c r="K9" s="381">
        <f>'DR'!K11</f>
        <v>0</v>
      </c>
      <c r="L9" s="381">
        <f>'DR'!L11</f>
        <v>0</v>
      </c>
    </row>
    <row r="10" spans="1:12" ht="12.75">
      <c r="A10" s="135" t="s">
        <v>20</v>
      </c>
      <c r="B10" s="381">
        <f>'DR'!B13</f>
        <v>0</v>
      </c>
      <c r="C10" s="381">
        <f>'DR'!C13</f>
        <v>0</v>
      </c>
      <c r="D10" s="381">
        <f>'DR'!D13</f>
        <v>0</v>
      </c>
      <c r="E10" s="381">
        <f>'DR'!E13</f>
        <v>0</v>
      </c>
      <c r="F10" s="381">
        <f>'DR'!F13</f>
        <v>0</v>
      </c>
      <c r="G10" s="381">
        <f>'DR'!G13</f>
        <v>0</v>
      </c>
      <c r="H10" s="381">
        <f>'DR'!H13</f>
        <v>0</v>
      </c>
      <c r="I10" s="381">
        <f>'DR'!I13</f>
        <v>0</v>
      </c>
      <c r="J10" s="381">
        <f>'DR'!J13</f>
        <v>0</v>
      </c>
      <c r="K10" s="381">
        <f>'DR'!K13</f>
        <v>0</v>
      </c>
      <c r="L10" s="381">
        <f>'DR'!L13</f>
        <v>0</v>
      </c>
    </row>
    <row r="11" spans="1:12" ht="12.75">
      <c r="A11" s="135" t="s">
        <v>402</v>
      </c>
      <c r="B11" s="381">
        <f>FSE!F47</f>
        <v>0</v>
      </c>
      <c r="C11" s="381">
        <f>FSE!G47</f>
        <v>0</v>
      </c>
      <c r="D11" s="381">
        <f>FSE!H47</f>
        <v>0</v>
      </c>
      <c r="E11" s="381">
        <f>FSE!I47</f>
        <v>0</v>
      </c>
      <c r="F11" s="381">
        <f>FSE!J47</f>
        <v>0</v>
      </c>
      <c r="G11" s="381">
        <f>FSE!K47</f>
        <v>0</v>
      </c>
      <c r="H11" s="381">
        <f>FSE!L47</f>
        <v>0</v>
      </c>
      <c r="I11" s="381">
        <f>FSE!M47</f>
        <v>0</v>
      </c>
      <c r="J11" s="381">
        <f>FSE!N47</f>
        <v>0</v>
      </c>
      <c r="K11" s="381">
        <f>FSE!O47</f>
        <v>0</v>
      </c>
      <c r="L11" s="381">
        <f>FSE!P47</f>
        <v>0</v>
      </c>
    </row>
    <row r="12" spans="1:12" ht="12.75">
      <c r="A12" s="379" t="s">
        <v>401</v>
      </c>
      <c r="B12" s="382">
        <f>B8+B9-B10-B11</f>
        <v>0</v>
      </c>
      <c r="C12" s="382">
        <f>C8+C9-C10-C11</f>
        <v>0</v>
      </c>
      <c r="D12" s="382">
        <f>D8+D9-D10-D11</f>
        <v>0</v>
      </c>
      <c r="E12" s="382">
        <f aca="true" t="shared" si="0" ref="E12:L12">E8+E9-E10-E11</f>
        <v>0</v>
      </c>
      <c r="F12" s="382">
        <f t="shared" si="0"/>
        <v>0</v>
      </c>
      <c r="G12" s="382">
        <f t="shared" si="0"/>
        <v>0</v>
      </c>
      <c r="H12" s="382">
        <f t="shared" si="0"/>
        <v>0</v>
      </c>
      <c r="I12" s="382">
        <f t="shared" si="0"/>
        <v>0</v>
      </c>
      <c r="J12" s="382">
        <f t="shared" si="0"/>
        <v>0</v>
      </c>
      <c r="K12" s="382">
        <f t="shared" si="0"/>
        <v>0</v>
      </c>
      <c r="L12" s="382">
        <f t="shared" si="0"/>
        <v>0</v>
      </c>
    </row>
    <row r="13" spans="1:12" ht="12.75">
      <c r="A13" s="380" t="s">
        <v>403</v>
      </c>
      <c r="B13" s="471">
        <f>IF(B8&gt;0,(FSE!F45+'DR'!B15+'DR'!B24+'DR'!B25+'DR'!B18)/(B12/'Ponto Crítico'!B8),"")</f>
      </c>
      <c r="C13" s="471">
        <f>IF(C8&gt;0,(FSE!G45+'DR'!C15+'DR'!C24+'DR'!C25+'DR'!C18)/(C12/'Ponto Crítico'!C8),"")</f>
      </c>
      <c r="D13" s="471">
        <f>IF(D8&gt;0,(FSE!H45+'DR'!D15+'DR'!D24+'DR'!D25+'DR'!D18)/(D12/'Ponto Crítico'!D8),"")</f>
      </c>
      <c r="E13" s="471">
        <f>IF(E8&gt;0,(FSE!I45+'DR'!E15+'DR'!E24+'DR'!E25+'DR'!E18)/(E12/'Ponto Crítico'!E8),"")</f>
      </c>
      <c r="F13" s="471">
        <f>IF(F8&gt;0,(FSE!J45+'DR'!F15+'DR'!F24+'DR'!F25+'DR'!F18)/(F12/'Ponto Crítico'!F8),"")</f>
      </c>
      <c r="G13" s="471">
        <f>IF(G8&gt;0,(FSE!K45+'DR'!G15+'DR'!G24+'DR'!G25+'DR'!G18)/(G12/'Ponto Crítico'!G8),"")</f>
      </c>
      <c r="H13" s="471">
        <f>IF(H8&gt;0,(FSE!L45+'DR'!H15+'DR'!H24+'DR'!H25+'DR'!H18)/(H12/'Ponto Crítico'!H8),"")</f>
      </c>
      <c r="I13" s="471">
        <f>IF(I8&gt;0,(FSE!M45+'DR'!I15+'DR'!I24+'DR'!I25+'DR'!I18)/(I12/'Ponto Crítico'!I8),"")</f>
      </c>
      <c r="J13" s="471">
        <f>IF(J8&gt;0,(FSE!N45+'DR'!J15+'DR'!J24+'DR'!J25+'DR'!J18)/(J12/'Ponto Crítico'!J8),"")</f>
      </c>
      <c r="K13" s="471">
        <f>IF(K8&gt;0,(FSE!O45+'DR'!K15+'DR'!K24+'DR'!K25+'DR'!K18)/(K12/'Ponto Crítico'!K8),"")</f>
      </c>
      <c r="L13" s="471">
        <f>IF(L8&gt;0,(FSE!P45+'DR'!L15+'DR'!L24+'DR'!L25+'DR'!L18)/(L12/'Ponto Crítico'!L8),"")</f>
      </c>
    </row>
  </sheetData>
  <sheetProtection password="8318" sheet="1"/>
  <mergeCells count="1">
    <mergeCell ref="A4:L4"/>
  </mergeCells>
  <printOptions horizontalCentered="1"/>
  <pageMargins left="0.03937007874015748" right="0.03937007874015748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/>
  <dimension ref="A1:L32"/>
  <sheetViews>
    <sheetView showGridLines="0" showZeros="0" zoomScalePageLayoutView="0" workbookViewId="0" topLeftCell="A1">
      <selection activeCell="C21" sqref="C21"/>
    </sheetView>
  </sheetViews>
  <sheetFormatPr defaultColWidth="8.7109375" defaultRowHeight="12.75"/>
  <cols>
    <col min="1" max="1" width="45.7109375" style="67" bestFit="1" customWidth="1"/>
    <col min="2" max="2" width="7.7109375" style="67" bestFit="1" customWidth="1"/>
    <col min="3" max="10" width="7.8515625" style="67" customWidth="1"/>
    <col min="11" max="11" width="7.7109375" style="67" bestFit="1" customWidth="1"/>
    <col min="12" max="12" width="8.00390625" style="67" customWidth="1"/>
    <col min="13" max="16384" width="8.7109375" style="67" customWidth="1"/>
  </cols>
  <sheetData>
    <row r="1" spans="1:12" ht="12.75">
      <c r="A1" s="57"/>
      <c r="B1" s="57"/>
      <c r="C1" s="91"/>
      <c r="D1" s="47"/>
      <c r="E1" s="47"/>
      <c r="F1" s="47"/>
      <c r="G1" s="47"/>
      <c r="H1" s="47"/>
      <c r="I1" s="47"/>
      <c r="J1" s="47"/>
      <c r="K1" s="455" t="s">
        <v>63</v>
      </c>
      <c r="L1" s="455" t="str">
        <f>+Pressupostos!E1</f>
        <v>XPTO SA</v>
      </c>
    </row>
    <row r="2" spans="1:12" ht="12.7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2" t="str">
        <f>+Pressupostos!B9</f>
        <v>Euros</v>
      </c>
    </row>
    <row r="3" spans="1:12" ht="12.7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2"/>
    </row>
    <row r="4" spans="1:12" ht="15.75">
      <c r="A4" s="508" t="s">
        <v>56</v>
      </c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</row>
    <row r="5" spans="1:12" ht="12.75">
      <c r="A5" s="57"/>
      <c r="B5" s="146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12.75">
      <c r="A6" s="57"/>
      <c r="B6" s="206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 ht="12.75">
      <c r="A7" s="135"/>
      <c r="B7" s="54">
        <f>+VN!C8</f>
        <v>2016</v>
      </c>
      <c r="C7" s="54">
        <f>+VN!D8</f>
        <v>2017</v>
      </c>
      <c r="D7" s="54">
        <f>+VN!E8</f>
        <v>2018</v>
      </c>
      <c r="E7" s="54">
        <f>+VN!F8</f>
        <v>2019</v>
      </c>
      <c r="F7" s="54">
        <f>+VN!G8</f>
        <v>2020</v>
      </c>
      <c r="G7" s="54">
        <f>+VN!H8</f>
        <v>2021</v>
      </c>
      <c r="H7" s="54">
        <f>+VN!I8</f>
        <v>2022</v>
      </c>
      <c r="I7" s="54">
        <f>+VN!J8</f>
        <v>2023</v>
      </c>
      <c r="J7" s="54">
        <f>+VN!K8</f>
        <v>2024</v>
      </c>
      <c r="K7" s="54">
        <f>+VN!L8</f>
        <v>2025</v>
      </c>
      <c r="L7" s="54">
        <f>+VN!M8</f>
        <v>2026</v>
      </c>
    </row>
    <row r="8" spans="1:12" ht="12.75">
      <c r="A8" s="135" t="s">
        <v>281</v>
      </c>
      <c r="B8" s="207">
        <f>+VN!C80</f>
        <v>0</v>
      </c>
      <c r="C8" s="207">
        <f>+VN!D80</f>
        <v>0</v>
      </c>
      <c r="D8" s="207">
        <f>+VN!E80</f>
        <v>0</v>
      </c>
      <c r="E8" s="207">
        <f>+VN!F80</f>
        <v>0</v>
      </c>
      <c r="F8" s="207">
        <f>+VN!G80</f>
        <v>0</v>
      </c>
      <c r="G8" s="207">
        <f>+VN!H80</f>
        <v>0</v>
      </c>
      <c r="H8" s="207">
        <f>+VN!I80</f>
        <v>0</v>
      </c>
      <c r="I8" s="207">
        <f>+VN!J80</f>
        <v>0</v>
      </c>
      <c r="J8" s="207">
        <f>+VN!K80</f>
        <v>0</v>
      </c>
      <c r="K8" s="207">
        <f>+VN!L80</f>
        <v>0</v>
      </c>
      <c r="L8" s="207">
        <f>+VN!M80</f>
        <v>0</v>
      </c>
    </row>
    <row r="9" spans="1:12" ht="12.75">
      <c r="A9" s="135" t="s">
        <v>282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2.75">
      <c r="A10" s="113" t="s">
        <v>283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.75">
      <c r="A11" s="135" t="s">
        <v>291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2.75">
      <c r="A12" s="135" t="s">
        <v>280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2.75">
      <c r="A13" s="135" t="s">
        <v>20</v>
      </c>
      <c r="B13" s="207">
        <f>+CMVMC!C16</f>
        <v>0</v>
      </c>
      <c r="C13" s="207">
        <f>+CMVMC!D16</f>
        <v>0</v>
      </c>
      <c r="D13" s="207">
        <f>+CMVMC!E16</f>
        <v>0</v>
      </c>
      <c r="E13" s="207">
        <f>+CMVMC!F16</f>
        <v>0</v>
      </c>
      <c r="F13" s="207">
        <f>+CMVMC!G16</f>
        <v>0</v>
      </c>
      <c r="G13" s="207">
        <f>+CMVMC!H16</f>
        <v>0</v>
      </c>
      <c r="H13" s="207">
        <f>+CMVMC!I16</f>
        <v>0</v>
      </c>
      <c r="I13" s="207">
        <f>+CMVMC!J16</f>
        <v>0</v>
      </c>
      <c r="J13" s="207">
        <f>+CMVMC!K16</f>
        <v>0</v>
      </c>
      <c r="K13" s="207">
        <f>+CMVMC!L16</f>
        <v>0</v>
      </c>
      <c r="L13" s="207">
        <f>+CMVMC!M16</f>
        <v>0</v>
      </c>
    </row>
    <row r="14" spans="1:12" ht="12.75">
      <c r="A14" s="135" t="s">
        <v>279</v>
      </c>
      <c r="B14" s="207">
        <f>+FSE!F43</f>
        <v>0</v>
      </c>
      <c r="C14" s="207">
        <f>+FSE!G43</f>
        <v>0</v>
      </c>
      <c r="D14" s="207">
        <f>+FSE!H43</f>
        <v>0</v>
      </c>
      <c r="E14" s="207">
        <f>+FSE!I43</f>
        <v>0</v>
      </c>
      <c r="F14" s="207">
        <f>+FSE!J43</f>
        <v>0</v>
      </c>
      <c r="G14" s="207">
        <f>+FSE!K43</f>
        <v>0</v>
      </c>
      <c r="H14" s="207">
        <f>+FSE!L43</f>
        <v>0</v>
      </c>
      <c r="I14" s="207">
        <f>+FSE!M43</f>
        <v>0</v>
      </c>
      <c r="J14" s="207">
        <f>+FSE!N43</f>
        <v>0</v>
      </c>
      <c r="K14" s="207">
        <f>+FSE!O43</f>
        <v>0</v>
      </c>
      <c r="L14" s="207">
        <f>+FSE!P43</f>
        <v>0</v>
      </c>
    </row>
    <row r="15" spans="1:12" ht="12.75">
      <c r="A15" s="135" t="s">
        <v>278</v>
      </c>
      <c r="B15" s="207">
        <f>+'Gastos com Pessoal'!D94</f>
        <v>0</v>
      </c>
      <c r="C15" s="207">
        <f>+'Gastos com Pessoal'!E94</f>
        <v>0</v>
      </c>
      <c r="D15" s="207">
        <f>+'Gastos com Pessoal'!F94</f>
        <v>0</v>
      </c>
      <c r="E15" s="207">
        <f>+'Gastos com Pessoal'!G94</f>
        <v>0</v>
      </c>
      <c r="F15" s="207">
        <f>+'Gastos com Pessoal'!H94</f>
        <v>0</v>
      </c>
      <c r="G15" s="207">
        <f>+'Gastos com Pessoal'!I94</f>
        <v>0</v>
      </c>
      <c r="H15" s="207">
        <f>+'Gastos com Pessoal'!J94</f>
        <v>0</v>
      </c>
      <c r="I15" s="207">
        <f>+'Gastos com Pessoal'!K94</f>
        <v>0</v>
      </c>
      <c r="J15" s="207">
        <f>+'Gastos com Pessoal'!L94</f>
        <v>0</v>
      </c>
      <c r="K15" s="207">
        <f>+'Gastos com Pessoal'!M94</f>
        <v>0</v>
      </c>
      <c r="L15" s="207">
        <f>+'Gastos com Pessoal'!N94</f>
        <v>0</v>
      </c>
    </row>
    <row r="16" spans="1:12" ht="12.75">
      <c r="A16" s="135" t="s">
        <v>284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135" t="s">
        <v>285</v>
      </c>
      <c r="B17" s="207">
        <f>+VN!C87</f>
        <v>0</v>
      </c>
      <c r="C17" s="207">
        <f>+VN!D87</f>
        <v>0</v>
      </c>
      <c r="D17" s="207">
        <f>+VN!E87</f>
        <v>0</v>
      </c>
      <c r="E17" s="207">
        <f>+VN!F87</f>
        <v>0</v>
      </c>
      <c r="F17" s="207">
        <f>+VN!G87</f>
        <v>0</v>
      </c>
      <c r="G17" s="207">
        <f>+VN!H87</f>
        <v>0</v>
      </c>
      <c r="H17" s="207">
        <f>+VN!I87</f>
        <v>0</v>
      </c>
      <c r="I17" s="207">
        <f>+VN!J87</f>
        <v>0</v>
      </c>
      <c r="J17" s="207">
        <f>+VN!K87</f>
        <v>0</v>
      </c>
      <c r="K17" s="207">
        <f>+VN!L87</f>
        <v>0</v>
      </c>
      <c r="L17" s="207">
        <f>+VN!M87</f>
        <v>0</v>
      </c>
    </row>
    <row r="18" spans="1:12" ht="12.75">
      <c r="A18" s="135" t="s">
        <v>286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135" t="s">
        <v>287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135" t="s">
        <v>288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135" t="s">
        <v>277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135" t="s">
        <v>276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3.5" thickBot="1">
      <c r="A23" s="208" t="s">
        <v>453</v>
      </c>
      <c r="B23" s="36">
        <f>+B8+B9+B10+B11+B12-B13-B14-B15-B16-B17-B18-B19-B20+B21-B22</f>
        <v>0</v>
      </c>
      <c r="C23" s="36">
        <f>+C8+C9+C10+C11+C12-C13-C14-C15-C16-C17-C18-C19-C20+C21-C22</f>
        <v>0</v>
      </c>
      <c r="D23" s="36">
        <f aca="true" t="shared" si="0" ref="D23:L23">+D8+D9+D10+D11+D12-D13-D14-D15-D16-D17-D18-D19-D20+D21-D22</f>
        <v>0</v>
      </c>
      <c r="E23" s="36">
        <f t="shared" si="0"/>
        <v>0</v>
      </c>
      <c r="F23" s="36">
        <f t="shared" si="0"/>
        <v>0</v>
      </c>
      <c r="G23" s="36">
        <f t="shared" si="0"/>
        <v>0</v>
      </c>
      <c r="H23" s="36">
        <f t="shared" si="0"/>
        <v>0</v>
      </c>
      <c r="I23" s="36">
        <f t="shared" si="0"/>
        <v>0</v>
      </c>
      <c r="J23" s="36">
        <f t="shared" si="0"/>
        <v>0</v>
      </c>
      <c r="K23" s="36">
        <f t="shared" si="0"/>
        <v>0</v>
      </c>
      <c r="L23" s="36">
        <f t="shared" si="0"/>
        <v>0</v>
      </c>
    </row>
    <row r="24" spans="1:12" ht="13.5" thickTop="1">
      <c r="A24" s="135" t="s">
        <v>270</v>
      </c>
      <c r="B24" s="207">
        <f>+Investimento!C168</f>
        <v>0</v>
      </c>
      <c r="C24" s="207">
        <f>+Investimento!D168</f>
        <v>0</v>
      </c>
      <c r="D24" s="207">
        <f>+Investimento!E168</f>
        <v>0</v>
      </c>
      <c r="E24" s="207">
        <f>+Investimento!F168</f>
        <v>0</v>
      </c>
      <c r="F24" s="207">
        <f>+Investimento!G168</f>
        <v>0</v>
      </c>
      <c r="G24" s="207">
        <f>+Investimento!H168</f>
        <v>0</v>
      </c>
      <c r="H24" s="207">
        <f>+Investimento!I168</f>
        <v>0</v>
      </c>
      <c r="I24" s="207">
        <f>+Investimento!J168</f>
        <v>0</v>
      </c>
      <c r="J24" s="207">
        <f>+Investimento!K168</f>
        <v>0</v>
      </c>
      <c r="K24" s="207">
        <f>+Investimento!L168</f>
        <v>0</v>
      </c>
      <c r="L24" s="207">
        <f>+Investimento!M168</f>
        <v>0</v>
      </c>
    </row>
    <row r="25" spans="1:12" ht="12.75">
      <c r="A25" s="135" t="s">
        <v>271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3.5" thickBot="1">
      <c r="A26" s="208" t="s">
        <v>289</v>
      </c>
      <c r="B26" s="36">
        <f>+B23-B24-B25</f>
        <v>0</v>
      </c>
      <c r="C26" s="36">
        <f>+C23-C24-C25</f>
        <v>0</v>
      </c>
      <c r="D26" s="36">
        <f aca="true" t="shared" si="1" ref="D26:L26">+D23-D24-D25</f>
        <v>0</v>
      </c>
      <c r="E26" s="36">
        <f t="shared" si="1"/>
        <v>0</v>
      </c>
      <c r="F26" s="36">
        <f t="shared" si="1"/>
        <v>0</v>
      </c>
      <c r="G26" s="36">
        <f t="shared" si="1"/>
        <v>0</v>
      </c>
      <c r="H26" s="36">
        <f t="shared" si="1"/>
        <v>0</v>
      </c>
      <c r="I26" s="36">
        <f t="shared" si="1"/>
        <v>0</v>
      </c>
      <c r="J26" s="36">
        <f t="shared" si="1"/>
        <v>0</v>
      </c>
      <c r="K26" s="36">
        <f t="shared" si="1"/>
        <v>0</v>
      </c>
      <c r="L26" s="36">
        <f t="shared" si="1"/>
        <v>0</v>
      </c>
    </row>
    <row r="27" spans="1:12" ht="13.5" thickTop="1">
      <c r="A27" s="135" t="s">
        <v>273</v>
      </c>
      <c r="B27" s="207">
        <f>+IF(PlanoFinanceiro!C29&gt;0,PlanoFinanceiro!C29*Pressupostos!$B$31,0)</f>
        <v>0</v>
      </c>
      <c r="C27" s="207">
        <f>+IF(PlanoFinanceiro!D29&gt;0,PlanoFinanceiro!D29*Pressupostos!$B$31,0)</f>
        <v>0</v>
      </c>
      <c r="D27" s="207">
        <f>+IF(PlanoFinanceiro!E29&gt;0,PlanoFinanceiro!E29*Pressupostos!$B$31,0)</f>
        <v>0</v>
      </c>
      <c r="E27" s="207">
        <f>+IF(PlanoFinanceiro!F29&gt;0,PlanoFinanceiro!F29*Pressupostos!$B$31,0)</f>
        <v>0</v>
      </c>
      <c r="F27" s="207">
        <f>+IF(PlanoFinanceiro!G29&gt;0,PlanoFinanceiro!G29*Pressupostos!$B$31,0)</f>
        <v>0</v>
      </c>
      <c r="G27" s="207">
        <f>+IF(PlanoFinanceiro!H29&gt;0,PlanoFinanceiro!H29*Pressupostos!$B$31,0)</f>
        <v>0</v>
      </c>
      <c r="H27" s="207">
        <f>+IF(PlanoFinanceiro!I29&gt;0,PlanoFinanceiro!I29*Pressupostos!$B$31,0)</f>
        <v>0</v>
      </c>
      <c r="I27" s="207">
        <f>+IF(PlanoFinanceiro!J29&gt;0,PlanoFinanceiro!J29*Pressupostos!$B$31,0)</f>
        <v>0</v>
      </c>
      <c r="J27" s="207">
        <f>+IF(PlanoFinanceiro!K29&gt;0,PlanoFinanceiro!K29*Pressupostos!$B$31,0)</f>
        <v>0</v>
      </c>
      <c r="K27" s="207">
        <f>+IF(PlanoFinanceiro!L29&gt;0,PlanoFinanceiro!L29*Pressupostos!$B$31,0)</f>
        <v>0</v>
      </c>
      <c r="L27" s="207">
        <f>+IF(PlanoFinanceiro!M29&gt;0,PlanoFinanceiro!M29*Pressupostos!$B$31,0)</f>
        <v>0</v>
      </c>
    </row>
    <row r="28" spans="1:12" ht="12.75">
      <c r="A28" s="135" t="s">
        <v>272</v>
      </c>
      <c r="B28" s="207">
        <f>Financiamento!C103+IF(PlanoFinanceiro!C29&lt;0,-PlanoFinanceiro!C29*Pressupostos!$B$32,0)</f>
        <v>0</v>
      </c>
      <c r="C28" s="207">
        <f>Financiamento!D103+IF(PlanoFinanceiro!D29&lt;0,-PlanoFinanceiro!D29*Pressupostos!$B$32,0)</f>
        <v>0</v>
      </c>
      <c r="D28" s="207">
        <f>Financiamento!E103+IF(PlanoFinanceiro!E29&lt;0,-PlanoFinanceiro!E29*Pressupostos!$B$32,0)</f>
        <v>0</v>
      </c>
      <c r="E28" s="207">
        <f>Financiamento!F103+IF(PlanoFinanceiro!F29&lt;0,-PlanoFinanceiro!F29*Pressupostos!$B$32,0)</f>
        <v>0</v>
      </c>
      <c r="F28" s="207">
        <f>Financiamento!G103+IF(PlanoFinanceiro!G29&lt;0,-PlanoFinanceiro!G29*Pressupostos!$B$32,0)</f>
        <v>0</v>
      </c>
      <c r="G28" s="207">
        <f>Financiamento!H103+IF(PlanoFinanceiro!H29&lt;0,-PlanoFinanceiro!H29*Pressupostos!$B$32,0)</f>
        <v>0</v>
      </c>
      <c r="H28" s="207">
        <f>Financiamento!I103+IF(PlanoFinanceiro!I29&lt;0,-PlanoFinanceiro!I29*Pressupostos!$B$32,0)</f>
        <v>0</v>
      </c>
      <c r="I28" s="207">
        <f>Financiamento!J103+IF(PlanoFinanceiro!J29&lt;0,-PlanoFinanceiro!J29*Pressupostos!$B$32,0)</f>
        <v>0</v>
      </c>
      <c r="J28" s="207">
        <f>Financiamento!K103+IF(PlanoFinanceiro!K29&lt;0,-PlanoFinanceiro!K29*Pressupostos!$B$32,0)</f>
        <v>0</v>
      </c>
      <c r="K28" s="207">
        <f>Financiamento!L103+IF(PlanoFinanceiro!L29&lt;0,-PlanoFinanceiro!L29*Pressupostos!$B$32,0)</f>
        <v>0</v>
      </c>
      <c r="L28" s="207">
        <f>Financiamento!M103+IF(PlanoFinanceiro!M29&lt;0,-PlanoFinanceiro!M29*Pressupostos!$B$32,0)</f>
        <v>0</v>
      </c>
    </row>
    <row r="29" spans="1:12" ht="13.5" thickBot="1">
      <c r="A29" s="208" t="s">
        <v>290</v>
      </c>
      <c r="B29" s="36">
        <f>+B26+B27-B28</f>
        <v>0</v>
      </c>
      <c r="C29" s="36">
        <f>+C26+C27-C28</f>
        <v>0</v>
      </c>
      <c r="D29" s="36">
        <f aca="true" t="shared" si="2" ref="D29:L29">+D26+D27-D28</f>
        <v>0</v>
      </c>
      <c r="E29" s="36">
        <f t="shared" si="2"/>
        <v>0</v>
      </c>
      <c r="F29" s="36">
        <f t="shared" si="2"/>
        <v>0</v>
      </c>
      <c r="G29" s="36">
        <f t="shared" si="2"/>
        <v>0</v>
      </c>
      <c r="H29" s="36">
        <f t="shared" si="2"/>
        <v>0</v>
      </c>
      <c r="I29" s="36">
        <f t="shared" si="2"/>
        <v>0</v>
      </c>
      <c r="J29" s="36">
        <f t="shared" si="2"/>
        <v>0</v>
      </c>
      <c r="K29" s="36">
        <f t="shared" si="2"/>
        <v>0</v>
      </c>
      <c r="L29" s="36">
        <f t="shared" si="2"/>
        <v>0</v>
      </c>
    </row>
    <row r="30" spans="1:12" ht="13.5" thickTop="1">
      <c r="A30" s="135" t="s">
        <v>274</v>
      </c>
      <c r="B30" s="207">
        <f>IF(B29&gt;0,B29*Pressupostos!$B$29,0)</f>
        <v>0</v>
      </c>
      <c r="C30" s="207">
        <f>IF(C29+C32&lt;0,0,(C29+C32)*Pressupostos!$B$29)</f>
        <v>0</v>
      </c>
      <c r="D30" s="207">
        <f>IF(D29+D32&lt;0,0,(D29+D32)*Pressupostos!$B$29)</f>
        <v>0</v>
      </c>
      <c r="E30" s="207">
        <f>IF(E29+E32&lt;0,0,(E29+E32)*Pressupostos!$B$29)</f>
        <v>0</v>
      </c>
      <c r="F30" s="207">
        <f>IF(F29+F32&lt;0,0,(F29+F32)*Pressupostos!$B$29)</f>
        <v>0</v>
      </c>
      <c r="G30" s="207">
        <f>IF(G29+G32&lt;0,0,(G29+G32)*Pressupostos!$B$29)</f>
        <v>0</v>
      </c>
      <c r="H30" s="207">
        <f>IF(H29+H32&lt;0,0,(H29+H32)*Pressupostos!$B$29)</f>
        <v>0</v>
      </c>
      <c r="I30" s="207">
        <f>IF(I29+I32&lt;0,0,(I29+I32)*Pressupostos!$B$29)</f>
        <v>0</v>
      </c>
      <c r="J30" s="207">
        <f>IF(J29+J32&lt;0,0,(J29+J32)*Pressupostos!$B$29)</f>
        <v>0</v>
      </c>
      <c r="K30" s="207">
        <f>IF(K29+K32&lt;0,0,(K29+K32)*Pressupostos!$B$29)</f>
        <v>0</v>
      </c>
      <c r="L30" s="207">
        <f>IF(L29+L32&lt;0,0,(L29+L32)*Pressupostos!$B$29)</f>
        <v>0</v>
      </c>
    </row>
    <row r="31" spans="1:12" ht="13.5" thickBot="1">
      <c r="A31" s="208" t="s">
        <v>275</v>
      </c>
      <c r="B31" s="36">
        <f>+B29-B30</f>
        <v>0</v>
      </c>
      <c r="C31" s="36">
        <f>+C29-C30</f>
        <v>0</v>
      </c>
      <c r="D31" s="36">
        <f aca="true" t="shared" si="3" ref="D31:L31">+D29-D30</f>
        <v>0</v>
      </c>
      <c r="E31" s="36">
        <f t="shared" si="3"/>
        <v>0</v>
      </c>
      <c r="F31" s="36">
        <f t="shared" si="3"/>
        <v>0</v>
      </c>
      <c r="G31" s="36">
        <f t="shared" si="3"/>
        <v>0</v>
      </c>
      <c r="H31" s="36">
        <f t="shared" si="3"/>
        <v>0</v>
      </c>
      <c r="I31" s="36">
        <f t="shared" si="3"/>
        <v>0</v>
      </c>
      <c r="J31" s="36">
        <f t="shared" si="3"/>
        <v>0</v>
      </c>
      <c r="K31" s="36">
        <f t="shared" si="3"/>
        <v>0</v>
      </c>
      <c r="L31" s="36">
        <f t="shared" si="3"/>
        <v>0</v>
      </c>
    </row>
    <row r="32" spans="1:12" ht="13.5" thickTop="1">
      <c r="A32" s="138"/>
      <c r="B32" s="209"/>
      <c r="C32" s="209">
        <f>IF(B31&lt;0,B31,0)</f>
        <v>0</v>
      </c>
      <c r="D32" s="209">
        <f>IF(C31+C32&lt;0,C31+C32,0)</f>
        <v>0</v>
      </c>
      <c r="E32" s="209"/>
      <c r="F32" s="209"/>
      <c r="G32" s="209"/>
      <c r="H32" s="209"/>
      <c r="I32" s="209"/>
      <c r="J32" s="209">
        <f>IF(D31+D32&lt;0,D31+D32,0)</f>
        <v>0</v>
      </c>
      <c r="K32" s="209">
        <f>IF(J31+J32&lt;0,J31+J32,0)</f>
        <v>0</v>
      </c>
      <c r="L32" s="209">
        <f>IF(K31+K32&lt;0,K31+K32,0)</f>
        <v>0</v>
      </c>
    </row>
  </sheetData>
  <sheetProtection password="8318" sheet="1"/>
  <mergeCells count="1">
    <mergeCell ref="A4:L4"/>
  </mergeCells>
  <printOptions horizontalCentered="1"/>
  <pageMargins left="0.03937007874015748" right="0.03937007874015748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lha4"/>
  <dimension ref="A1:N39"/>
  <sheetViews>
    <sheetView showGridLines="0" showZeros="0" zoomScalePageLayoutView="0" workbookViewId="0" topLeftCell="A1">
      <selection activeCell="L32" sqref="L32"/>
    </sheetView>
  </sheetViews>
  <sheetFormatPr defaultColWidth="8.7109375" defaultRowHeight="12.75"/>
  <cols>
    <col min="1" max="1" width="25.28125" style="212" bestFit="1" customWidth="1"/>
    <col min="2" max="2" width="5.00390625" style="212" customWidth="1"/>
    <col min="3" max="13" width="8.8515625" style="212" customWidth="1"/>
    <col min="14" max="18" width="11.421875" style="212" customWidth="1"/>
    <col min="19" max="16384" width="8.7109375" style="212" customWidth="1"/>
  </cols>
  <sheetData>
    <row r="1" spans="1:13" ht="12.75">
      <c r="A1" s="210"/>
      <c r="B1" s="210"/>
      <c r="C1" s="143"/>
      <c r="D1" s="143"/>
      <c r="E1" s="143"/>
      <c r="F1" s="143"/>
      <c r="G1" s="143"/>
      <c r="H1" s="143"/>
      <c r="I1" s="143"/>
      <c r="J1" s="143"/>
      <c r="K1" s="143"/>
      <c r="L1" s="144" t="s">
        <v>63</v>
      </c>
      <c r="M1" s="211" t="str">
        <f>+Pressupostos!E1</f>
        <v>XPTO SA</v>
      </c>
    </row>
    <row r="2" spans="1:13" ht="12.7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2" t="str">
        <f>+Pressupostos!B9</f>
        <v>Euros</v>
      </c>
    </row>
    <row r="3" spans="1:13" ht="12.7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2"/>
    </row>
    <row r="4" spans="1:13" ht="13.5" customHeight="1">
      <c r="A4" s="508" t="s">
        <v>58</v>
      </c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</row>
    <row r="5" spans="1:13" ht="12.75" customHeight="1">
      <c r="A5" s="57"/>
      <c r="B5" s="146"/>
      <c r="C5" s="146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3" ht="12.75">
      <c r="A6" s="57"/>
      <c r="B6" s="134"/>
      <c r="C6" s="146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3" ht="12.75">
      <c r="A7" s="135"/>
      <c r="B7" s="128"/>
      <c r="C7" s="54">
        <f>+VN!C8</f>
        <v>2016</v>
      </c>
      <c r="D7" s="54">
        <f>+VN!D8</f>
        <v>2017</v>
      </c>
      <c r="E7" s="54">
        <f>+VN!E8</f>
        <v>2018</v>
      </c>
      <c r="F7" s="54">
        <f>+VN!F8</f>
        <v>2019</v>
      </c>
      <c r="G7" s="54">
        <f>+VN!G8</f>
        <v>2020</v>
      </c>
      <c r="H7" s="54">
        <f>+VN!H8</f>
        <v>2021</v>
      </c>
      <c r="I7" s="54">
        <f>+VN!I8</f>
        <v>2022</v>
      </c>
      <c r="J7" s="54">
        <f>+VN!J8</f>
        <v>2023</v>
      </c>
      <c r="K7" s="54">
        <f>+VN!K8</f>
        <v>2024</v>
      </c>
      <c r="L7" s="54">
        <f>+VN!L8</f>
        <v>2025</v>
      </c>
      <c r="M7" s="54">
        <f>+VN!M8</f>
        <v>2026</v>
      </c>
    </row>
    <row r="8" spans="1:13" ht="12.75">
      <c r="A8" s="68" t="s">
        <v>87</v>
      </c>
      <c r="B8" s="128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1:13" ht="12.75">
      <c r="A9" s="213" t="s">
        <v>160</v>
      </c>
      <c r="B9" s="214"/>
      <c r="C9" s="111">
        <f>+'DR'!B26*(1-Pressupostos!$B$29)</f>
        <v>0</v>
      </c>
      <c r="D9" s="111">
        <f>+'DR'!C26*(1-Pressupostos!$B$29)</f>
        <v>0</v>
      </c>
      <c r="E9" s="111">
        <f>+'DR'!D26*(1-Pressupostos!$B$29)</f>
        <v>0</v>
      </c>
      <c r="F9" s="111">
        <f>+'DR'!E26*(1-Pressupostos!$B$29)</f>
        <v>0</v>
      </c>
      <c r="G9" s="111">
        <f>+'DR'!F26*(1-Pressupostos!$B$29)</f>
        <v>0</v>
      </c>
      <c r="H9" s="111">
        <f>+'DR'!G26*(1-Pressupostos!$B$29)</f>
        <v>0</v>
      </c>
      <c r="I9" s="111">
        <f>+'DR'!H26*(1-Pressupostos!$B$29)</f>
        <v>0</v>
      </c>
      <c r="J9" s="111">
        <f>+'DR'!I26*(1-Pressupostos!$B$29)</f>
        <v>0</v>
      </c>
      <c r="K9" s="111">
        <f>+'DR'!J26*(1-Pressupostos!$B$29)</f>
        <v>0</v>
      </c>
      <c r="L9" s="111">
        <f>+'DR'!K26*(1-Pressupostos!$B$29)</f>
        <v>0</v>
      </c>
      <c r="M9" s="111">
        <f>+'DR'!L26*(1-Pressupostos!$B$29)</f>
        <v>0</v>
      </c>
    </row>
    <row r="10" spans="1:13" ht="12.75">
      <c r="A10" s="58" t="s">
        <v>348</v>
      </c>
      <c r="B10" s="214"/>
      <c r="C10" s="111">
        <f>+'DR'!B24</f>
        <v>0</v>
      </c>
      <c r="D10" s="111">
        <f>+'DR'!C24</f>
        <v>0</v>
      </c>
      <c r="E10" s="111">
        <f>+'DR'!D24</f>
        <v>0</v>
      </c>
      <c r="F10" s="111">
        <f>+'DR'!E24</f>
        <v>0</v>
      </c>
      <c r="G10" s="111">
        <f>+'DR'!F24</f>
        <v>0</v>
      </c>
      <c r="H10" s="111">
        <f>+'DR'!G24</f>
        <v>0</v>
      </c>
      <c r="I10" s="111">
        <f>+'DR'!H24</f>
        <v>0</v>
      </c>
      <c r="J10" s="111">
        <f>+'DR'!I24</f>
        <v>0</v>
      </c>
      <c r="K10" s="111">
        <f>+'DR'!J24</f>
        <v>0</v>
      </c>
      <c r="L10" s="111">
        <f>+'DR'!K24</f>
        <v>0</v>
      </c>
      <c r="M10" s="111">
        <f>+'DR'!L24</f>
        <v>0</v>
      </c>
    </row>
    <row r="11" spans="1:13" ht="12.75">
      <c r="A11" s="58" t="s">
        <v>204</v>
      </c>
      <c r="B11" s="214"/>
      <c r="C11" s="111">
        <f>+'DR'!B25</f>
        <v>0</v>
      </c>
      <c r="D11" s="111">
        <f>+'DR'!C25</f>
        <v>0</v>
      </c>
      <c r="E11" s="111">
        <f>+'DR'!D25</f>
        <v>0</v>
      </c>
      <c r="F11" s="111">
        <f>+'DR'!E25</f>
        <v>0</v>
      </c>
      <c r="G11" s="111">
        <f>+'DR'!F25</f>
        <v>0</v>
      </c>
      <c r="H11" s="111">
        <f>+'DR'!G25</f>
        <v>0</v>
      </c>
      <c r="I11" s="111">
        <f>+'DR'!H25</f>
        <v>0</v>
      </c>
      <c r="J11" s="111">
        <f>+'DR'!I25</f>
        <v>0</v>
      </c>
      <c r="K11" s="111">
        <f>+'DR'!J25</f>
        <v>0</v>
      </c>
      <c r="L11" s="111">
        <f>+'DR'!K25</f>
        <v>0</v>
      </c>
      <c r="M11" s="111">
        <f>+'DR'!L25</f>
        <v>0</v>
      </c>
    </row>
    <row r="12" spans="1:13" ht="13.5" thickBot="1">
      <c r="A12" s="58"/>
      <c r="B12" s="124"/>
      <c r="C12" s="154">
        <f>SUM(C9:C11)</f>
        <v>0</v>
      </c>
      <c r="D12" s="154">
        <f>SUM(D9:D11)</f>
        <v>0</v>
      </c>
      <c r="E12" s="154">
        <f aca="true" t="shared" si="0" ref="E12:M12">SUM(E9:E11)</f>
        <v>0</v>
      </c>
      <c r="F12" s="154">
        <f t="shared" si="0"/>
        <v>0</v>
      </c>
      <c r="G12" s="154">
        <f t="shared" si="0"/>
        <v>0</v>
      </c>
      <c r="H12" s="154">
        <f t="shared" si="0"/>
        <v>0</v>
      </c>
      <c r="I12" s="154">
        <f t="shared" si="0"/>
        <v>0</v>
      </c>
      <c r="J12" s="154">
        <f t="shared" si="0"/>
        <v>0</v>
      </c>
      <c r="K12" s="154">
        <f t="shared" si="0"/>
        <v>0</v>
      </c>
      <c r="L12" s="154">
        <f t="shared" si="0"/>
        <v>0</v>
      </c>
      <c r="M12" s="154">
        <f t="shared" si="0"/>
        <v>0</v>
      </c>
    </row>
    <row r="13" spans="1:13" ht="13.5" thickTop="1">
      <c r="A13" s="68" t="s">
        <v>161</v>
      </c>
      <c r="B13" s="215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</row>
    <row r="14" spans="1:13" ht="12.75">
      <c r="A14" s="213" t="s">
        <v>88</v>
      </c>
      <c r="B14" s="217"/>
      <c r="C14" s="111">
        <f>-FundoManeio!C24</f>
        <v>0</v>
      </c>
      <c r="D14" s="111">
        <f>-FundoManeio!D24</f>
        <v>0</v>
      </c>
      <c r="E14" s="111">
        <f>-FundoManeio!E24</f>
        <v>0</v>
      </c>
      <c r="F14" s="111">
        <f>-FundoManeio!F24</f>
        <v>0</v>
      </c>
      <c r="G14" s="111">
        <f>-FundoManeio!G24</f>
        <v>0</v>
      </c>
      <c r="H14" s="111">
        <f>-FundoManeio!H24</f>
        <v>0</v>
      </c>
      <c r="I14" s="111">
        <f>-FundoManeio!I24</f>
        <v>0</v>
      </c>
      <c r="J14" s="111">
        <f>-FundoManeio!J24</f>
        <v>0</v>
      </c>
      <c r="K14" s="111">
        <f>-FundoManeio!K24</f>
        <v>0</v>
      </c>
      <c r="L14" s="111">
        <f>-FundoManeio!L24</f>
        <v>0</v>
      </c>
      <c r="M14" s="111">
        <f>-FundoManeio!M24</f>
        <v>0</v>
      </c>
    </row>
    <row r="15" spans="1:13" ht="10.5">
      <c r="A15" s="218"/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</row>
    <row r="16" spans="1:13" ht="13.5" thickBot="1">
      <c r="A16" s="158" t="s">
        <v>91</v>
      </c>
      <c r="B16" s="219"/>
      <c r="C16" s="154">
        <f>+SUM(C12:C14)</f>
        <v>0</v>
      </c>
      <c r="D16" s="154">
        <f>+SUM(D12:D14)</f>
        <v>0</v>
      </c>
      <c r="E16" s="154">
        <f aca="true" t="shared" si="1" ref="E16:M16">+SUM(E12:E14)</f>
        <v>0</v>
      </c>
      <c r="F16" s="154">
        <f t="shared" si="1"/>
        <v>0</v>
      </c>
      <c r="G16" s="154">
        <f t="shared" si="1"/>
        <v>0</v>
      </c>
      <c r="H16" s="154">
        <f t="shared" si="1"/>
        <v>0</v>
      </c>
      <c r="I16" s="154">
        <f t="shared" si="1"/>
        <v>0</v>
      </c>
      <c r="J16" s="154">
        <f t="shared" si="1"/>
        <v>0</v>
      </c>
      <c r="K16" s="154">
        <f t="shared" si="1"/>
        <v>0</v>
      </c>
      <c r="L16" s="154">
        <f t="shared" si="1"/>
        <v>0</v>
      </c>
      <c r="M16" s="154">
        <f t="shared" si="1"/>
        <v>0</v>
      </c>
    </row>
    <row r="17" spans="1:13" ht="13.5" thickTop="1">
      <c r="A17" s="220"/>
      <c r="B17" s="221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</row>
    <row r="18" spans="1:13" ht="12.75">
      <c r="A18" s="68" t="s">
        <v>162</v>
      </c>
      <c r="B18" s="215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</row>
    <row r="19" spans="1:13" ht="12.75">
      <c r="A19" s="58" t="s">
        <v>89</v>
      </c>
      <c r="B19" s="214"/>
      <c r="C19" s="111">
        <f>-Investimento!C29</f>
        <v>0</v>
      </c>
      <c r="D19" s="111">
        <f>-Investimento!D29</f>
        <v>0</v>
      </c>
      <c r="E19" s="111">
        <f>-Investimento!E29</f>
        <v>0</v>
      </c>
      <c r="F19" s="111">
        <f>-Investimento!F29</f>
        <v>0</v>
      </c>
      <c r="G19" s="111">
        <f>-Investimento!G29</f>
        <v>0</v>
      </c>
      <c r="H19" s="111">
        <f>-Investimento!H29</f>
        <v>0</v>
      </c>
      <c r="I19" s="111">
        <f>-Investimento!I29</f>
        <v>0</v>
      </c>
      <c r="J19" s="111">
        <f>-Investimento!J29</f>
        <v>0</v>
      </c>
      <c r="K19" s="111">
        <f>-Investimento!K29</f>
        <v>0</v>
      </c>
      <c r="L19" s="111">
        <f>-Investimento!L29</f>
        <v>0</v>
      </c>
      <c r="M19" s="111">
        <f>-Investimento!M29</f>
        <v>0</v>
      </c>
    </row>
    <row r="20" spans="1:13" ht="12.75">
      <c r="A20" s="146"/>
      <c r="B20" s="221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</row>
    <row r="21" spans="1:13" ht="13.5" thickBot="1">
      <c r="A21" s="158" t="s">
        <v>126</v>
      </c>
      <c r="B21" s="219"/>
      <c r="C21" s="154">
        <f>+C12+C14+C19</f>
        <v>0</v>
      </c>
      <c r="D21" s="154">
        <f>+D12+D14+D19</f>
        <v>0</v>
      </c>
      <c r="E21" s="154">
        <f aca="true" t="shared" si="2" ref="E21:M21">+E12+E14+E19</f>
        <v>0</v>
      </c>
      <c r="F21" s="154">
        <f t="shared" si="2"/>
        <v>0</v>
      </c>
      <c r="G21" s="154">
        <f t="shared" si="2"/>
        <v>0</v>
      </c>
      <c r="H21" s="154">
        <f t="shared" si="2"/>
        <v>0</v>
      </c>
      <c r="I21" s="154">
        <f t="shared" si="2"/>
        <v>0</v>
      </c>
      <c r="J21" s="154">
        <f t="shared" si="2"/>
        <v>0</v>
      </c>
      <c r="K21" s="154">
        <f t="shared" si="2"/>
        <v>0</v>
      </c>
      <c r="L21" s="154">
        <f t="shared" si="2"/>
        <v>0</v>
      </c>
      <c r="M21" s="154">
        <f t="shared" si="2"/>
        <v>0</v>
      </c>
    </row>
    <row r="22" spans="1:13" ht="13.5" thickTop="1">
      <c r="A22" s="220"/>
      <c r="B22" s="221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</row>
    <row r="23" spans="1:13" ht="13.5" thickBot="1">
      <c r="A23" s="158" t="s">
        <v>112</v>
      </c>
      <c r="B23" s="219"/>
      <c r="C23" s="154">
        <f>+SUM(C21)</f>
        <v>0</v>
      </c>
      <c r="D23" s="154">
        <f>+SUM($C$21:D21)</f>
        <v>0</v>
      </c>
      <c r="E23" s="154">
        <f>+SUM($C$21:E21)</f>
        <v>0</v>
      </c>
      <c r="F23" s="154">
        <f>+SUM($C$21:F21)</f>
        <v>0</v>
      </c>
      <c r="G23" s="154">
        <f>+SUM($C$21:G21)</f>
        <v>0</v>
      </c>
      <c r="H23" s="154">
        <f>+SUM($C$21:H21)</f>
        <v>0</v>
      </c>
      <c r="I23" s="154">
        <f>+SUM($C$21:I21)</f>
        <v>0</v>
      </c>
      <c r="J23" s="154">
        <f>+SUM($C$21:J21)</f>
        <v>0</v>
      </c>
      <c r="K23" s="154">
        <f>+SUM($C$21:K21)</f>
        <v>0</v>
      </c>
      <c r="L23" s="154">
        <f>+SUM($C$21:L21)</f>
        <v>0</v>
      </c>
      <c r="M23" s="154">
        <f>+SUM($C$21:M21)</f>
        <v>0</v>
      </c>
    </row>
    <row r="24" spans="1:13" ht="13.5" thickTop="1">
      <c r="A24" s="75"/>
      <c r="B24" s="223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</row>
    <row r="25" spans="1:14" ht="12.75">
      <c r="A25" s="225"/>
      <c r="B25" s="226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8"/>
    </row>
    <row r="26" spans="1:13" ht="12.75">
      <c r="A26" s="229"/>
      <c r="B26" s="226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</row>
    <row r="27" spans="1:13" ht="12.75">
      <c r="A27" s="229"/>
      <c r="B27" s="226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</row>
    <row r="28" spans="1:13" ht="12.75">
      <c r="A28" s="229"/>
      <c r="B28" s="226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</row>
    <row r="29" spans="1:13" ht="12.75">
      <c r="A29" s="229"/>
      <c r="B29" s="226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</row>
    <row r="30" spans="1:13" ht="12.75">
      <c r="A30" s="229"/>
      <c r="B30" s="226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</row>
    <row r="31" spans="1:13" ht="12.75">
      <c r="A31" s="229"/>
      <c r="B31" s="226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</row>
    <row r="32" spans="1:13" ht="12.75">
      <c r="A32" s="229"/>
      <c r="B32" s="226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</row>
    <row r="33" spans="1:13" ht="12.75">
      <c r="A33" s="229"/>
      <c r="B33" s="226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</row>
    <row r="34" spans="1:13" ht="12.75">
      <c r="A34" s="229"/>
      <c r="B34" s="226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</row>
    <row r="35" spans="1:13" ht="12.75">
      <c r="A35" s="229"/>
      <c r="B35" s="226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</row>
    <row r="36" spans="1:13" ht="12.75">
      <c r="A36" s="225"/>
      <c r="B36" s="226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</row>
    <row r="37" spans="1:13" ht="12.75">
      <c r="A37" s="230"/>
      <c r="B37" s="226"/>
      <c r="C37" s="231"/>
      <c r="D37" s="75"/>
      <c r="E37" s="75"/>
      <c r="F37" s="75"/>
      <c r="G37" s="75"/>
      <c r="H37" s="75"/>
      <c r="I37" s="75"/>
      <c r="J37" s="75"/>
      <c r="K37" s="75"/>
      <c r="L37" s="75"/>
      <c r="M37" s="75"/>
    </row>
    <row r="38" spans="1:13" ht="12.75">
      <c r="A38" s="67"/>
      <c r="B38" s="67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</row>
    <row r="39" spans="3:13" ht="10.5"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</row>
  </sheetData>
  <sheetProtection password="8318" sheet="1"/>
  <mergeCells count="1">
    <mergeCell ref="A4:M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lha5"/>
  <dimension ref="A1:M35"/>
  <sheetViews>
    <sheetView showGridLines="0" showZeros="0" zoomScalePageLayoutView="0" workbookViewId="0" topLeftCell="A1">
      <selection activeCell="Q24" sqref="Q24"/>
    </sheetView>
  </sheetViews>
  <sheetFormatPr defaultColWidth="8.7109375" defaultRowHeight="12.75"/>
  <cols>
    <col min="1" max="1" width="30.57421875" style="67" customWidth="1"/>
    <col min="2" max="2" width="3.140625" style="67" customWidth="1"/>
    <col min="3" max="13" width="8.28125" style="67" customWidth="1"/>
    <col min="14" max="16384" width="8.7109375" style="67" customWidth="1"/>
  </cols>
  <sheetData>
    <row r="1" spans="1:13" ht="12.75">
      <c r="A1" s="57"/>
      <c r="B1" s="57"/>
      <c r="C1" s="47"/>
      <c r="D1" s="47"/>
      <c r="E1" s="47"/>
      <c r="F1" s="47"/>
      <c r="G1" s="47"/>
      <c r="H1" s="47"/>
      <c r="I1" s="47"/>
      <c r="J1" s="47"/>
      <c r="K1" s="47"/>
      <c r="L1" s="48" t="s">
        <v>63</v>
      </c>
      <c r="M1" s="93" t="str">
        <f>+Pressupostos!E1</f>
        <v>XPTO SA</v>
      </c>
    </row>
    <row r="2" spans="1:13" ht="12.7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2" t="str">
        <f>+Pressupostos!B9</f>
        <v>Euros</v>
      </c>
    </row>
    <row r="3" spans="1:13" ht="12.7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2"/>
    </row>
    <row r="4" spans="1:13" ht="15.75">
      <c r="A4" s="508" t="s">
        <v>164</v>
      </c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</row>
    <row r="5" spans="1:13" ht="12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3" ht="12.7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3" ht="12.75">
      <c r="A7" s="55"/>
      <c r="B7" s="78"/>
      <c r="C7" s="54">
        <f>+VN!C8</f>
        <v>2016</v>
      </c>
      <c r="D7" s="54">
        <f>+VN!D8</f>
        <v>2017</v>
      </c>
      <c r="E7" s="54">
        <f>+VN!E8</f>
        <v>2018</v>
      </c>
      <c r="F7" s="54">
        <f>+VN!F8</f>
        <v>2019</v>
      </c>
      <c r="G7" s="54">
        <f>+VN!G8</f>
        <v>2020</v>
      </c>
      <c r="H7" s="54">
        <f>+VN!H8</f>
        <v>2021</v>
      </c>
      <c r="I7" s="54">
        <f>+VN!I8</f>
        <v>2022</v>
      </c>
      <c r="J7" s="54">
        <f>+VN!J8</f>
        <v>2023</v>
      </c>
      <c r="K7" s="54">
        <f>+VN!K8</f>
        <v>2024</v>
      </c>
      <c r="L7" s="54">
        <f>+VN!L8</f>
        <v>2025</v>
      </c>
      <c r="M7" s="54">
        <f>+VN!M8</f>
        <v>2026</v>
      </c>
    </row>
    <row r="8" spans="1:13" ht="12.75">
      <c r="A8" s="545" t="s">
        <v>105</v>
      </c>
      <c r="B8" s="546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</row>
    <row r="9" spans="1:13" ht="12.75">
      <c r="A9" s="122" t="s">
        <v>95</v>
      </c>
      <c r="B9" s="98"/>
      <c r="C9" s="233">
        <f>+'DR'!B26+'DR'!B24+'DR'!B25+'DR'!B17</f>
        <v>0</v>
      </c>
      <c r="D9" s="233">
        <f>+'DR'!C26+'DR'!C24+'DR'!C25+'DR'!C17</f>
        <v>0</v>
      </c>
      <c r="E9" s="233">
        <f>+'DR'!D26+'DR'!D24+'DR'!D25+'DR'!D17</f>
        <v>0</v>
      </c>
      <c r="F9" s="233">
        <f>+'DR'!E26+'DR'!E24+'DR'!E25+'DR'!E17</f>
        <v>0</v>
      </c>
      <c r="G9" s="233">
        <f>+'DR'!F26+'DR'!F24+'DR'!F25+'DR'!F17</f>
        <v>0</v>
      </c>
      <c r="H9" s="233">
        <f>+'DR'!G26+'DR'!G24+'DR'!G25+'DR'!G17</f>
        <v>0</v>
      </c>
      <c r="I9" s="233">
        <f>+'DR'!H26+'DR'!H24+'DR'!H25+'DR'!H17</f>
        <v>0</v>
      </c>
      <c r="J9" s="233">
        <f>+'DR'!I26+'DR'!I24+'DR'!I25+'DR'!I17</f>
        <v>0</v>
      </c>
      <c r="K9" s="233">
        <f>+'DR'!J26+'DR'!J24+'DR'!J25+'DR'!J17</f>
        <v>0</v>
      </c>
      <c r="L9" s="233">
        <f>+'DR'!K26+'DR'!K24+'DR'!K25+'DR'!K17</f>
        <v>0</v>
      </c>
      <c r="M9" s="233">
        <f>+'DR'!L26+'DR'!L24+'DR'!L25+'DR'!L17</f>
        <v>0</v>
      </c>
    </row>
    <row r="10" spans="1:13" ht="12.75">
      <c r="A10" s="122" t="s">
        <v>167</v>
      </c>
      <c r="B10" s="98"/>
      <c r="C10" s="233">
        <f>+Financiamento!C15</f>
        <v>0</v>
      </c>
      <c r="D10" s="233">
        <f>+Financiamento!D15</f>
        <v>0</v>
      </c>
      <c r="E10" s="233">
        <f>+Financiamento!E15</f>
        <v>0</v>
      </c>
      <c r="F10" s="233">
        <f>+Financiamento!F15</f>
        <v>0</v>
      </c>
      <c r="G10" s="233">
        <f>+Financiamento!G15</f>
        <v>0</v>
      </c>
      <c r="H10" s="233">
        <f>+Financiamento!H15</f>
        <v>0</v>
      </c>
      <c r="I10" s="233">
        <f>+Financiamento!I15</f>
        <v>0</v>
      </c>
      <c r="J10" s="233">
        <f>+Financiamento!J15</f>
        <v>0</v>
      </c>
      <c r="K10" s="233">
        <f>+Financiamento!K15</f>
        <v>0</v>
      </c>
      <c r="L10" s="233">
        <f>+Financiamento!L15</f>
        <v>0</v>
      </c>
      <c r="M10" s="233">
        <f>+Financiamento!M15</f>
        <v>0</v>
      </c>
    </row>
    <row r="11" spans="1:13" ht="12.75">
      <c r="A11" s="122" t="s">
        <v>370</v>
      </c>
      <c r="B11" s="98"/>
      <c r="C11" s="233">
        <f>+Financiamento!C16+Financiamento!C17+Financiamento!C19</f>
        <v>0</v>
      </c>
      <c r="D11" s="233">
        <f>+Financiamento!D16+Financiamento!D17+Financiamento!D19</f>
        <v>0</v>
      </c>
      <c r="E11" s="233">
        <f>+Financiamento!E16+Financiamento!E17+Financiamento!E19</f>
        <v>0</v>
      </c>
      <c r="F11" s="233">
        <f>+Financiamento!F16+Financiamento!F17+Financiamento!F19</f>
        <v>0</v>
      </c>
      <c r="G11" s="233">
        <f>+Financiamento!G16+Financiamento!G17+Financiamento!G19</f>
        <v>0</v>
      </c>
      <c r="H11" s="233">
        <f>+Financiamento!H16+Financiamento!H17+Financiamento!H19</f>
        <v>0</v>
      </c>
      <c r="I11" s="233">
        <f>+Financiamento!I16+Financiamento!I17+Financiamento!I19</f>
        <v>0</v>
      </c>
      <c r="J11" s="233">
        <f>+Financiamento!J16+Financiamento!J17+Financiamento!J19</f>
        <v>0</v>
      </c>
      <c r="K11" s="233">
        <f>+Financiamento!K16+Financiamento!K17+Financiamento!K19</f>
        <v>0</v>
      </c>
      <c r="L11" s="233">
        <f>+Financiamento!L16+Financiamento!L17+Financiamento!L19</f>
        <v>0</v>
      </c>
      <c r="M11" s="233">
        <f>+Financiamento!M16+Financiamento!M17+Financiamento!M19</f>
        <v>0</v>
      </c>
    </row>
    <row r="12" spans="1:13" ht="12.75">
      <c r="A12" s="122" t="s">
        <v>168</v>
      </c>
      <c r="B12" s="98"/>
      <c r="C12" s="233">
        <f>+Financiamento!C18</f>
        <v>0</v>
      </c>
      <c r="D12" s="233">
        <f>+Financiamento!D18</f>
        <v>0</v>
      </c>
      <c r="E12" s="233">
        <f>+Financiamento!E18</f>
        <v>0</v>
      </c>
      <c r="F12" s="233">
        <f>+Financiamento!F18</f>
        <v>0</v>
      </c>
      <c r="G12" s="233">
        <f>+Financiamento!G18</f>
        <v>0</v>
      </c>
      <c r="H12" s="233">
        <f>+Financiamento!H18</f>
        <v>0</v>
      </c>
      <c r="I12" s="233">
        <f>+Financiamento!I18</f>
        <v>0</v>
      </c>
      <c r="J12" s="233">
        <f>+Financiamento!J18</f>
        <v>0</v>
      </c>
      <c r="K12" s="233">
        <f>+Financiamento!K18</f>
        <v>0</v>
      </c>
      <c r="L12" s="233">
        <f>+Financiamento!L18</f>
        <v>0</v>
      </c>
      <c r="M12" s="233">
        <f>+Financiamento!M18</f>
        <v>0</v>
      </c>
    </row>
    <row r="13" spans="1:13" ht="12.75">
      <c r="A13" s="122" t="s">
        <v>96</v>
      </c>
      <c r="B13" s="98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</row>
    <row r="14" spans="1:13" ht="12.75">
      <c r="A14" s="122" t="s">
        <v>97</v>
      </c>
      <c r="B14" s="98"/>
      <c r="C14" s="233">
        <f>+IF(FundoManeio!C24&lt;0,-FundoManeio!C24,0)</f>
        <v>0</v>
      </c>
      <c r="D14" s="233">
        <f>+IF(FundoManeio!D24&lt;0,-FundoManeio!D24,0)</f>
        <v>0</v>
      </c>
      <c r="E14" s="233">
        <f>+IF(FundoManeio!E24&lt;0,-FundoManeio!E24,0)</f>
        <v>0</v>
      </c>
      <c r="F14" s="233">
        <f>+IF(FundoManeio!F24&lt;0,-FundoManeio!F24,0)</f>
        <v>0</v>
      </c>
      <c r="G14" s="233">
        <f>+IF(FundoManeio!G24&lt;0,-FundoManeio!G24,0)</f>
        <v>0</v>
      </c>
      <c r="H14" s="233">
        <f>+IF(FundoManeio!H24&lt;0,-FundoManeio!H24,0)</f>
        <v>0</v>
      </c>
      <c r="I14" s="233">
        <f>+IF(FundoManeio!I24&lt;0,-FundoManeio!I24,0)</f>
        <v>0</v>
      </c>
      <c r="J14" s="233">
        <f>+IF(FundoManeio!J24&lt;0,-FundoManeio!J24,0)</f>
        <v>0</v>
      </c>
      <c r="K14" s="233">
        <f>+IF(FundoManeio!K24&lt;0,-FundoManeio!K24,0)</f>
        <v>0</v>
      </c>
      <c r="L14" s="233">
        <f>+IF(FundoManeio!L24&lt;0,-FundoManeio!L24,0)</f>
        <v>0</v>
      </c>
      <c r="M14" s="233">
        <f>+IF(FundoManeio!M24&lt;0,-FundoManeio!M24,0)</f>
        <v>0</v>
      </c>
    </row>
    <row r="15" spans="1:13" ht="12.75">
      <c r="A15" s="122" t="s">
        <v>47</v>
      </c>
      <c r="B15" s="98"/>
      <c r="C15" s="233">
        <f>+'DR'!B27</f>
        <v>0</v>
      </c>
      <c r="D15" s="233">
        <f>+'DR'!C27</f>
        <v>0</v>
      </c>
      <c r="E15" s="233">
        <f>+'DR'!D27</f>
        <v>0</v>
      </c>
      <c r="F15" s="233">
        <f>+'DR'!E27</f>
        <v>0</v>
      </c>
      <c r="G15" s="233">
        <f>+'DR'!F27</f>
        <v>0</v>
      </c>
      <c r="H15" s="233">
        <f>+'DR'!G27</f>
        <v>0</v>
      </c>
      <c r="I15" s="233">
        <f>+'DR'!H27</f>
        <v>0</v>
      </c>
      <c r="J15" s="233">
        <f>+'DR'!I27</f>
        <v>0</v>
      </c>
      <c r="K15" s="233">
        <f>+'DR'!J27</f>
        <v>0</v>
      </c>
      <c r="L15" s="233">
        <f>+'DR'!K27</f>
        <v>0</v>
      </c>
      <c r="M15" s="233">
        <f>+'DR'!L27</f>
        <v>0</v>
      </c>
    </row>
    <row r="16" spans="1:13" ht="12.75">
      <c r="A16" s="549"/>
      <c r="B16" s="550"/>
      <c r="C16" s="456"/>
      <c r="D16" s="456"/>
      <c r="E16" s="456"/>
      <c r="F16" s="456"/>
      <c r="G16" s="456"/>
      <c r="H16" s="456"/>
      <c r="I16" s="456"/>
      <c r="J16" s="456"/>
      <c r="K16" s="456"/>
      <c r="L16" s="456"/>
      <c r="M16" s="456"/>
    </row>
    <row r="17" spans="1:13" ht="12.75">
      <c r="A17" s="547" t="s">
        <v>98</v>
      </c>
      <c r="B17" s="548"/>
      <c r="C17" s="234">
        <f>+SUM(C9:C16)</f>
        <v>0</v>
      </c>
      <c r="D17" s="234">
        <f>+SUM(D9:D16)</f>
        <v>0</v>
      </c>
      <c r="E17" s="234">
        <f>+SUM(E9:E16)</f>
        <v>0</v>
      </c>
      <c r="F17" s="234">
        <f aca="true" t="shared" si="0" ref="F17:M17">+SUM(F9:F16)</f>
        <v>0</v>
      </c>
      <c r="G17" s="234">
        <f t="shared" si="0"/>
        <v>0</v>
      </c>
      <c r="H17" s="234">
        <f t="shared" si="0"/>
        <v>0</v>
      </c>
      <c r="I17" s="234">
        <f t="shared" si="0"/>
        <v>0</v>
      </c>
      <c r="J17" s="234">
        <f t="shared" si="0"/>
        <v>0</v>
      </c>
      <c r="K17" s="234">
        <f t="shared" si="0"/>
        <v>0</v>
      </c>
      <c r="L17" s="234">
        <f t="shared" si="0"/>
        <v>0</v>
      </c>
      <c r="M17" s="234">
        <f t="shared" si="0"/>
        <v>0</v>
      </c>
    </row>
    <row r="18" spans="1:13" ht="14.25" customHeight="1">
      <c r="A18" s="545" t="s">
        <v>106</v>
      </c>
      <c r="B18" s="546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</row>
    <row r="19" spans="1:13" ht="12.75">
      <c r="A19" s="122" t="s">
        <v>99</v>
      </c>
      <c r="B19" s="78"/>
      <c r="C19" s="233">
        <f>+Investimento!C29</f>
        <v>0</v>
      </c>
      <c r="D19" s="233">
        <f>+Investimento!D29</f>
        <v>0</v>
      </c>
      <c r="E19" s="233">
        <f>+Investimento!E29</f>
        <v>0</v>
      </c>
      <c r="F19" s="233">
        <f>+Investimento!F29</f>
        <v>0</v>
      </c>
      <c r="G19" s="233">
        <f>+Investimento!G29</f>
        <v>0</v>
      </c>
      <c r="H19" s="233">
        <f>+Investimento!H29</f>
        <v>0</v>
      </c>
      <c r="I19" s="233">
        <f>+Investimento!I29</f>
        <v>0</v>
      </c>
      <c r="J19" s="233">
        <f>+Investimento!J29</f>
        <v>0</v>
      </c>
      <c r="K19" s="233">
        <f>+Investimento!K29</f>
        <v>0</v>
      </c>
      <c r="L19" s="233">
        <f>+Investimento!L29</f>
        <v>0</v>
      </c>
      <c r="M19" s="233">
        <f>+Investimento!M29</f>
        <v>0</v>
      </c>
    </row>
    <row r="20" spans="1:13" ht="12.75">
      <c r="A20" s="122" t="s">
        <v>100</v>
      </c>
      <c r="B20" s="78"/>
      <c r="C20" s="233">
        <f>+IF(FundoManeio!C24&gt;0,FundoManeio!C24,0)</f>
        <v>0</v>
      </c>
      <c r="D20" s="233">
        <f>+IF(FundoManeio!D24&gt;0,FundoManeio!D24,0)</f>
        <v>0</v>
      </c>
      <c r="E20" s="233">
        <f>+IF(FundoManeio!E24&gt;0,FundoManeio!E24,0)</f>
        <v>0</v>
      </c>
      <c r="F20" s="233">
        <f>+IF(FundoManeio!F24&gt;0,FundoManeio!F24,0)</f>
        <v>0</v>
      </c>
      <c r="G20" s="233">
        <f>+IF(FundoManeio!G24&gt;0,FundoManeio!G24,0)</f>
        <v>0</v>
      </c>
      <c r="H20" s="233">
        <f>+IF(FundoManeio!H24&gt;0,FundoManeio!H24,0)</f>
        <v>0</v>
      </c>
      <c r="I20" s="233">
        <f>+IF(FundoManeio!I24&gt;0,FundoManeio!I24,0)</f>
        <v>0</v>
      </c>
      <c r="J20" s="233">
        <f>+IF(FundoManeio!J24&gt;0,FundoManeio!J24,0)</f>
        <v>0</v>
      </c>
      <c r="K20" s="233">
        <f>+IF(FundoManeio!K24&gt;0,FundoManeio!K24,0)</f>
        <v>0</v>
      </c>
      <c r="L20" s="233">
        <f>+IF(FundoManeio!L24&gt;0,FundoManeio!L24,0)</f>
        <v>0</v>
      </c>
      <c r="M20" s="233">
        <f>+IF(FundoManeio!M24&gt;0,FundoManeio!M24,0)</f>
        <v>0</v>
      </c>
    </row>
    <row r="21" spans="1:13" ht="12.75">
      <c r="A21" s="122" t="s">
        <v>165</v>
      </c>
      <c r="B21" s="78"/>
      <c r="C21" s="233"/>
      <c r="D21" s="233">
        <f>+'DR'!B30</f>
        <v>0</v>
      </c>
      <c r="E21" s="233">
        <f>+'DR'!C30</f>
        <v>0</v>
      </c>
      <c r="F21" s="233">
        <f>+'DR'!D30</f>
        <v>0</v>
      </c>
      <c r="G21" s="233">
        <f>+'DR'!E30</f>
        <v>0</v>
      </c>
      <c r="H21" s="233">
        <f>+'DR'!F30</f>
        <v>0</v>
      </c>
      <c r="I21" s="233">
        <f>+'DR'!G30</f>
        <v>0</v>
      </c>
      <c r="J21" s="233">
        <f>+'DR'!H30</f>
        <v>0</v>
      </c>
      <c r="K21" s="233">
        <f>+'DR'!I30</f>
        <v>0</v>
      </c>
      <c r="L21" s="233">
        <f>+'DR'!J30</f>
        <v>0</v>
      </c>
      <c r="M21" s="233">
        <f>+'DR'!K30</f>
        <v>0</v>
      </c>
    </row>
    <row r="22" spans="1:13" ht="12.75">
      <c r="A22" s="122" t="s">
        <v>166</v>
      </c>
      <c r="B22" s="78"/>
      <c r="C22" s="415"/>
      <c r="D22" s="415"/>
      <c r="E22" s="415"/>
      <c r="F22" s="415"/>
      <c r="G22" s="415"/>
      <c r="H22" s="415"/>
      <c r="I22" s="415"/>
      <c r="J22" s="415"/>
      <c r="K22" s="415"/>
      <c r="L22" s="415"/>
      <c r="M22" s="415"/>
    </row>
    <row r="23" spans="1:13" ht="12.75">
      <c r="A23" s="122" t="s">
        <v>101</v>
      </c>
      <c r="B23" s="78"/>
      <c r="C23" s="233">
        <f>+Financiamento!C104</f>
        <v>0</v>
      </c>
      <c r="D23" s="233">
        <f>+Financiamento!D104</f>
        <v>0</v>
      </c>
      <c r="E23" s="233">
        <f>+Financiamento!E104</f>
        <v>0</v>
      </c>
      <c r="F23" s="233">
        <f>+Financiamento!F104</f>
        <v>0</v>
      </c>
      <c r="G23" s="233">
        <f>+Financiamento!G104</f>
        <v>0</v>
      </c>
      <c r="H23" s="233">
        <f>+Financiamento!H104</f>
        <v>0</v>
      </c>
      <c r="I23" s="233">
        <f>+Financiamento!I104</f>
        <v>0</v>
      </c>
      <c r="J23" s="233">
        <f>+Financiamento!J104</f>
        <v>0</v>
      </c>
      <c r="K23" s="233">
        <f>+Financiamento!K104</f>
        <v>0</v>
      </c>
      <c r="L23" s="233">
        <f>+Financiamento!L104</f>
        <v>0</v>
      </c>
      <c r="M23" s="233">
        <f>+Financiamento!M104</f>
        <v>0</v>
      </c>
    </row>
    <row r="24" spans="1:13" ht="12.75">
      <c r="A24" s="122" t="s">
        <v>102</v>
      </c>
      <c r="B24" s="78"/>
      <c r="C24" s="233">
        <f>+'DR'!B28</f>
        <v>0</v>
      </c>
      <c r="D24" s="233">
        <f>+'DR'!C28</f>
        <v>0</v>
      </c>
      <c r="E24" s="233">
        <f>+'DR'!D28</f>
        <v>0</v>
      </c>
      <c r="F24" s="233">
        <f>+'DR'!E28</f>
        <v>0</v>
      </c>
      <c r="G24" s="233">
        <f>+'DR'!F28</f>
        <v>0</v>
      </c>
      <c r="H24" s="233">
        <f>+'DR'!G28</f>
        <v>0</v>
      </c>
      <c r="I24" s="233">
        <f>+'DR'!H28</f>
        <v>0</v>
      </c>
      <c r="J24" s="233">
        <f>+'DR'!I28</f>
        <v>0</v>
      </c>
      <c r="K24" s="233">
        <f>+'DR'!J28</f>
        <v>0</v>
      </c>
      <c r="L24" s="233">
        <f>+'DR'!K28</f>
        <v>0</v>
      </c>
      <c r="M24" s="233">
        <f>+'DR'!L28</f>
        <v>0</v>
      </c>
    </row>
    <row r="25" spans="1:13" ht="12.75">
      <c r="A25" s="549"/>
      <c r="B25" s="550"/>
      <c r="C25" s="456"/>
      <c r="D25" s="456"/>
      <c r="E25" s="456"/>
      <c r="F25" s="456"/>
      <c r="G25" s="456"/>
      <c r="H25" s="456"/>
      <c r="I25" s="456"/>
      <c r="J25" s="456"/>
      <c r="K25" s="456"/>
      <c r="L25" s="456"/>
      <c r="M25" s="456"/>
    </row>
    <row r="26" spans="1:13" ht="12.75">
      <c r="A26" s="547" t="s">
        <v>103</v>
      </c>
      <c r="B26" s="548"/>
      <c r="C26" s="234">
        <f>+SUM(C19:C25)</f>
        <v>0</v>
      </c>
      <c r="D26" s="234">
        <f>+SUM(D19:D25)</f>
        <v>0</v>
      </c>
      <c r="E26" s="234">
        <f>+SUM(E19:E25)</f>
        <v>0</v>
      </c>
      <c r="F26" s="234">
        <f aca="true" t="shared" si="1" ref="F26:M26">+SUM(F19:F25)</f>
        <v>0</v>
      </c>
      <c r="G26" s="234">
        <f t="shared" si="1"/>
        <v>0</v>
      </c>
      <c r="H26" s="234">
        <f t="shared" si="1"/>
        <v>0</v>
      </c>
      <c r="I26" s="234">
        <f t="shared" si="1"/>
        <v>0</v>
      </c>
      <c r="J26" s="234">
        <f t="shared" si="1"/>
        <v>0</v>
      </c>
      <c r="K26" s="234">
        <f t="shared" si="1"/>
        <v>0</v>
      </c>
      <c r="L26" s="234">
        <f t="shared" si="1"/>
        <v>0</v>
      </c>
      <c r="M26" s="234">
        <f t="shared" si="1"/>
        <v>0</v>
      </c>
    </row>
    <row r="27" spans="1:13" ht="12.75">
      <c r="A27" s="551" t="s">
        <v>104</v>
      </c>
      <c r="B27" s="552"/>
      <c r="C27" s="234">
        <f>+C17-C26</f>
        <v>0</v>
      </c>
      <c r="D27" s="234">
        <f>+D17-D26</f>
        <v>0</v>
      </c>
      <c r="E27" s="234">
        <f>+E17-E26</f>
        <v>0</v>
      </c>
      <c r="F27" s="234">
        <f aca="true" t="shared" si="2" ref="F27:M27">+F17-F26</f>
        <v>0</v>
      </c>
      <c r="G27" s="234">
        <f t="shared" si="2"/>
        <v>0</v>
      </c>
      <c r="H27" s="234">
        <f t="shared" si="2"/>
        <v>0</v>
      </c>
      <c r="I27" s="234">
        <f t="shared" si="2"/>
        <v>0</v>
      </c>
      <c r="J27" s="234">
        <f t="shared" si="2"/>
        <v>0</v>
      </c>
      <c r="K27" s="234">
        <f t="shared" si="2"/>
        <v>0</v>
      </c>
      <c r="L27" s="234">
        <f t="shared" si="2"/>
        <v>0</v>
      </c>
      <c r="M27" s="234">
        <f t="shared" si="2"/>
        <v>0</v>
      </c>
    </row>
    <row r="28" spans="1:13" ht="12.75">
      <c r="A28" s="551" t="s">
        <v>113</v>
      </c>
      <c r="B28" s="552"/>
      <c r="C28" s="234">
        <f>+C27</f>
        <v>0</v>
      </c>
      <c r="D28" s="234">
        <f>+C28+D27</f>
        <v>0</v>
      </c>
      <c r="E28" s="234">
        <f>+D28+E27</f>
        <v>0</v>
      </c>
      <c r="F28" s="234">
        <f aca="true" t="shared" si="3" ref="F28:M28">+E28+F27</f>
        <v>0</v>
      </c>
      <c r="G28" s="234">
        <f t="shared" si="3"/>
        <v>0</v>
      </c>
      <c r="H28" s="234">
        <f t="shared" si="3"/>
        <v>0</v>
      </c>
      <c r="I28" s="234">
        <f t="shared" si="3"/>
        <v>0</v>
      </c>
      <c r="J28" s="234">
        <f t="shared" si="3"/>
        <v>0</v>
      </c>
      <c r="K28" s="234">
        <f t="shared" si="3"/>
        <v>0</v>
      </c>
      <c r="L28" s="234">
        <f t="shared" si="3"/>
        <v>0</v>
      </c>
      <c r="M28" s="234">
        <f t="shared" si="3"/>
        <v>0</v>
      </c>
    </row>
    <row r="29" spans="1:13" ht="12.75">
      <c r="A29" s="551" t="s">
        <v>205</v>
      </c>
      <c r="B29" s="552"/>
      <c r="C29" s="418"/>
      <c r="D29" s="418"/>
      <c r="E29" s="418"/>
      <c r="F29" s="418"/>
      <c r="G29" s="418"/>
      <c r="H29" s="418"/>
      <c r="I29" s="418"/>
      <c r="J29" s="418"/>
      <c r="K29" s="418"/>
      <c r="L29" s="418"/>
      <c r="M29" s="418"/>
    </row>
    <row r="30" spans="1:13" ht="12.75">
      <c r="A30" s="551" t="s">
        <v>114</v>
      </c>
      <c r="B30" s="552"/>
      <c r="C30" s="418">
        <f>+C28-C29</f>
        <v>0</v>
      </c>
      <c r="D30" s="418">
        <f>+D28-D29</f>
        <v>0</v>
      </c>
      <c r="E30" s="418">
        <f>+E28-E29</f>
        <v>0</v>
      </c>
      <c r="F30" s="418">
        <f aca="true" t="shared" si="4" ref="F30:M30">+F28-F29</f>
        <v>0</v>
      </c>
      <c r="G30" s="418">
        <f t="shared" si="4"/>
        <v>0</v>
      </c>
      <c r="H30" s="418">
        <f t="shared" si="4"/>
        <v>0</v>
      </c>
      <c r="I30" s="418">
        <f t="shared" si="4"/>
        <v>0</v>
      </c>
      <c r="J30" s="418">
        <f t="shared" si="4"/>
        <v>0</v>
      </c>
      <c r="K30" s="418">
        <f t="shared" si="4"/>
        <v>0</v>
      </c>
      <c r="L30" s="418">
        <f t="shared" si="4"/>
        <v>0</v>
      </c>
      <c r="M30" s="418">
        <f t="shared" si="4"/>
        <v>0</v>
      </c>
    </row>
    <row r="31" spans="1:13" ht="12.7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</row>
    <row r="32" spans="1:13" ht="12.75">
      <c r="A32" s="57"/>
      <c r="B32" s="57"/>
      <c r="C32" s="204"/>
      <c r="D32" s="204"/>
      <c r="E32" s="204"/>
      <c r="F32" s="204"/>
      <c r="G32" s="204"/>
      <c r="H32" s="204"/>
      <c r="I32" s="204"/>
      <c r="J32" s="57"/>
      <c r="K32" s="57"/>
      <c r="L32" s="57"/>
      <c r="M32" s="57"/>
    </row>
    <row r="33" spans="1:13" ht="12.7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</row>
    <row r="34" spans="1:13" ht="12.75">
      <c r="A34" s="162"/>
      <c r="B34" s="57"/>
      <c r="C34" s="57"/>
      <c r="D34" s="57"/>
      <c r="E34" s="57"/>
      <c r="F34" s="57"/>
      <c r="G34" s="57"/>
      <c r="H34" s="57"/>
      <c r="I34" s="57"/>
      <c r="J34" s="204"/>
      <c r="K34" s="57"/>
      <c r="L34" s="57"/>
      <c r="M34" s="57"/>
    </row>
    <row r="35" spans="1:13" ht="12.7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</row>
  </sheetData>
  <sheetProtection password="8318" sheet="1"/>
  <mergeCells count="11">
    <mergeCell ref="A30:B30"/>
    <mergeCell ref="A29:B29"/>
    <mergeCell ref="A28:B28"/>
    <mergeCell ref="A26:B26"/>
    <mergeCell ref="A27:B27"/>
    <mergeCell ref="A4:M4"/>
    <mergeCell ref="A18:B18"/>
    <mergeCell ref="A8:B8"/>
    <mergeCell ref="A17:B17"/>
    <mergeCell ref="A16:B16"/>
    <mergeCell ref="A25:B25"/>
  </mergeCells>
  <printOptions/>
  <pageMargins left="0.75" right="0.75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O59"/>
  <sheetViews>
    <sheetView showGridLines="0" showZeros="0" zoomScalePageLayoutView="0" workbookViewId="0" topLeftCell="A1">
      <selection activeCell="D31" sqref="D31"/>
    </sheetView>
  </sheetViews>
  <sheetFormatPr defaultColWidth="8.7109375" defaultRowHeight="12.75"/>
  <cols>
    <col min="1" max="1" width="20.57421875" style="67" bestFit="1" customWidth="1"/>
    <col min="2" max="2" width="7.57421875" style="67" customWidth="1"/>
    <col min="3" max="10" width="9.28125" style="67" bestFit="1" customWidth="1"/>
    <col min="11" max="12" width="9.57421875" style="67" bestFit="1" customWidth="1"/>
    <col min="13" max="13" width="9.28125" style="67" customWidth="1"/>
    <col min="14" max="17" width="11.421875" style="67" customWidth="1"/>
    <col min="18" max="16384" width="8.7109375" style="67" customWidth="1"/>
  </cols>
  <sheetData>
    <row r="1" spans="1:13" ht="12.75">
      <c r="A1" s="57"/>
      <c r="B1" s="57"/>
      <c r="C1" s="236"/>
      <c r="D1" s="236"/>
      <c r="E1" s="236"/>
      <c r="F1" s="236"/>
      <c r="G1" s="236"/>
      <c r="H1" s="236"/>
      <c r="I1" s="236"/>
      <c r="J1" s="236"/>
      <c r="K1" s="236"/>
      <c r="L1" s="237" t="s">
        <v>63</v>
      </c>
      <c r="M1" s="238" t="str">
        <f>+Pressupostos!E1</f>
        <v>XPTO SA</v>
      </c>
    </row>
    <row r="2" spans="1:13" s="241" customFormat="1" ht="12.75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40" t="str">
        <f>+Pressupostos!B9</f>
        <v>Euros</v>
      </c>
    </row>
    <row r="3" spans="1:13" s="241" customFormat="1" ht="12.75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0"/>
    </row>
    <row r="4" spans="1:13" ht="15.75">
      <c r="A4" s="508" t="s">
        <v>57</v>
      </c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</row>
    <row r="5" spans="1:13" ht="12.75">
      <c r="A5" s="57"/>
      <c r="B5" s="57"/>
      <c r="C5" s="146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3" ht="12.75">
      <c r="A6" s="57"/>
      <c r="B6" s="57"/>
      <c r="C6" s="146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3" ht="12.75">
      <c r="A7" s="55"/>
      <c r="B7" s="78"/>
      <c r="C7" s="54">
        <f>+VN!C8</f>
        <v>2016</v>
      </c>
      <c r="D7" s="54">
        <f>+VN!D8</f>
        <v>2017</v>
      </c>
      <c r="E7" s="54">
        <f>+VN!E8</f>
        <v>2018</v>
      </c>
      <c r="F7" s="54">
        <f>+VN!F8</f>
        <v>2019</v>
      </c>
      <c r="G7" s="54">
        <f>+VN!G8</f>
        <v>2020</v>
      </c>
      <c r="H7" s="54">
        <f>+VN!H8</f>
        <v>2021</v>
      </c>
      <c r="I7" s="54">
        <f>+VN!I8</f>
        <v>2022</v>
      </c>
      <c r="J7" s="54">
        <f>+VN!J8</f>
        <v>2023</v>
      </c>
      <c r="K7" s="54">
        <f>+VN!K8</f>
        <v>2024</v>
      </c>
      <c r="L7" s="54">
        <f>+VN!L8</f>
        <v>2025</v>
      </c>
      <c r="M7" s="54">
        <f>+VN!M8</f>
        <v>2026</v>
      </c>
    </row>
    <row r="8" spans="1:13" ht="12.75">
      <c r="A8" s="553" t="s">
        <v>48</v>
      </c>
      <c r="B8" s="554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</row>
    <row r="9" spans="1:13" ht="12.75">
      <c r="A9" s="147" t="s">
        <v>307</v>
      </c>
      <c r="B9" s="128"/>
      <c r="C9" s="150">
        <f>SUM(C10:C13)</f>
        <v>0</v>
      </c>
      <c r="D9" s="150">
        <f>SUM(D10:D13)</f>
        <v>0</v>
      </c>
      <c r="E9" s="150">
        <f aca="true" t="shared" si="0" ref="E9:M9">SUM(E10:E13)</f>
        <v>0</v>
      </c>
      <c r="F9" s="150">
        <f t="shared" si="0"/>
        <v>0</v>
      </c>
      <c r="G9" s="150">
        <f t="shared" si="0"/>
        <v>0</v>
      </c>
      <c r="H9" s="150">
        <f t="shared" si="0"/>
        <v>0</v>
      </c>
      <c r="I9" s="150">
        <f t="shared" si="0"/>
        <v>0</v>
      </c>
      <c r="J9" s="150">
        <f t="shared" si="0"/>
        <v>0</v>
      </c>
      <c r="K9" s="150">
        <f t="shared" si="0"/>
        <v>0</v>
      </c>
      <c r="L9" s="150">
        <f t="shared" si="0"/>
        <v>0</v>
      </c>
      <c r="M9" s="150">
        <f t="shared" si="0"/>
        <v>0</v>
      </c>
    </row>
    <row r="10" spans="1:13" ht="12.75">
      <c r="A10" s="58" t="s">
        <v>261</v>
      </c>
      <c r="B10" s="128"/>
      <c r="C10" s="111">
        <f>+Investimento!C180</f>
        <v>0</v>
      </c>
      <c r="D10" s="111">
        <f>+Investimento!D180</f>
        <v>0</v>
      </c>
      <c r="E10" s="111">
        <f>+Investimento!E180</f>
        <v>0</v>
      </c>
      <c r="F10" s="111">
        <f>+Investimento!F180</f>
        <v>0</v>
      </c>
      <c r="G10" s="111">
        <f>+Investimento!G180</f>
        <v>0</v>
      </c>
      <c r="H10" s="111">
        <f>+Investimento!H180</f>
        <v>0</v>
      </c>
      <c r="I10" s="111">
        <f>+Investimento!I180</f>
        <v>0</v>
      </c>
      <c r="J10" s="111">
        <f>+Investimento!J180</f>
        <v>0</v>
      </c>
      <c r="K10" s="111">
        <f>+Investimento!K180</f>
        <v>0</v>
      </c>
      <c r="L10" s="111">
        <f>+Investimento!L180</f>
        <v>0</v>
      </c>
      <c r="M10" s="111">
        <f>+Investimento!M180</f>
        <v>0</v>
      </c>
    </row>
    <row r="11" spans="1:13" ht="12.75">
      <c r="A11" s="58" t="s">
        <v>256</v>
      </c>
      <c r="B11" s="128"/>
      <c r="C11" s="111">
        <f>+Investimento!C179</f>
        <v>0</v>
      </c>
      <c r="D11" s="111">
        <f>+Investimento!D179</f>
        <v>0</v>
      </c>
      <c r="E11" s="111">
        <f>+Investimento!E179</f>
        <v>0</v>
      </c>
      <c r="F11" s="111">
        <f>+Investimento!F179</f>
        <v>0</v>
      </c>
      <c r="G11" s="111">
        <f>+Investimento!G179</f>
        <v>0</v>
      </c>
      <c r="H11" s="111">
        <f>+Investimento!H179</f>
        <v>0</v>
      </c>
      <c r="I11" s="111">
        <f>+Investimento!I179</f>
        <v>0</v>
      </c>
      <c r="J11" s="111">
        <f>+Investimento!J179</f>
        <v>0</v>
      </c>
      <c r="K11" s="111">
        <f>+Investimento!K179</f>
        <v>0</v>
      </c>
      <c r="L11" s="111">
        <f>+Investimento!L179</f>
        <v>0</v>
      </c>
      <c r="M11" s="111">
        <f>+Investimento!M179</f>
        <v>0</v>
      </c>
    </row>
    <row r="12" spans="1:13" ht="12.75">
      <c r="A12" s="58" t="s">
        <v>308</v>
      </c>
      <c r="B12" s="128"/>
      <c r="C12" s="111">
        <f>+Investimento!C181</f>
        <v>0</v>
      </c>
      <c r="D12" s="111">
        <f>+Investimento!D181</f>
        <v>0</v>
      </c>
      <c r="E12" s="111">
        <f>+Investimento!E181</f>
        <v>0</v>
      </c>
      <c r="F12" s="111">
        <f>+Investimento!F181</f>
        <v>0</v>
      </c>
      <c r="G12" s="111">
        <f>+Investimento!G181</f>
        <v>0</v>
      </c>
      <c r="H12" s="111">
        <f>+Investimento!H181</f>
        <v>0</v>
      </c>
      <c r="I12" s="111">
        <f>+Investimento!I181</f>
        <v>0</v>
      </c>
      <c r="J12" s="111">
        <f>+Investimento!J181</f>
        <v>0</v>
      </c>
      <c r="K12" s="111">
        <f>+Investimento!K181</f>
        <v>0</v>
      </c>
      <c r="L12" s="111">
        <f>+Investimento!L181</f>
        <v>0</v>
      </c>
      <c r="M12" s="111">
        <f>+Investimento!M181</f>
        <v>0</v>
      </c>
    </row>
    <row r="13" spans="1:13" ht="12.75">
      <c r="A13" s="58" t="s">
        <v>309</v>
      </c>
      <c r="B13" s="128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</row>
    <row r="14" spans="1:13" ht="12.75">
      <c r="A14" s="58"/>
      <c r="B14" s="128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</row>
    <row r="15" spans="1:15" ht="12.75">
      <c r="A15" s="147" t="s">
        <v>310</v>
      </c>
      <c r="B15" s="128"/>
      <c r="C15" s="150">
        <f>SUM(C16:C22)</f>
        <v>0</v>
      </c>
      <c r="D15" s="150">
        <f>SUM(D16:D22)</f>
        <v>0</v>
      </c>
      <c r="E15" s="150">
        <f aca="true" t="shared" si="1" ref="E15:M15">SUM(E16:E22)</f>
        <v>0</v>
      </c>
      <c r="F15" s="150">
        <f t="shared" si="1"/>
        <v>0</v>
      </c>
      <c r="G15" s="150">
        <f t="shared" si="1"/>
        <v>0</v>
      </c>
      <c r="H15" s="150">
        <f t="shared" si="1"/>
        <v>0</v>
      </c>
      <c r="I15" s="150">
        <f t="shared" si="1"/>
        <v>0</v>
      </c>
      <c r="J15" s="150">
        <f t="shared" si="1"/>
        <v>0</v>
      </c>
      <c r="K15" s="150">
        <f t="shared" si="1"/>
        <v>0</v>
      </c>
      <c r="L15" s="150">
        <f t="shared" si="1"/>
        <v>0</v>
      </c>
      <c r="M15" s="150">
        <f t="shared" si="1"/>
        <v>0</v>
      </c>
      <c r="N15" s="164"/>
      <c r="O15" s="164"/>
    </row>
    <row r="16" spans="1:15" ht="12.75">
      <c r="A16" s="58" t="s">
        <v>311</v>
      </c>
      <c r="B16" s="128"/>
      <c r="C16" s="111">
        <f>+FundoManeio!C11</f>
        <v>0</v>
      </c>
      <c r="D16" s="111">
        <f>+FundoManeio!D11</f>
        <v>0</v>
      </c>
      <c r="E16" s="111">
        <f>+FundoManeio!E11</f>
        <v>0</v>
      </c>
      <c r="F16" s="111">
        <f>+FundoManeio!F11</f>
        <v>0</v>
      </c>
      <c r="G16" s="111">
        <f>+FundoManeio!G11</f>
        <v>0</v>
      </c>
      <c r="H16" s="111">
        <f>+FundoManeio!H11</f>
        <v>0</v>
      </c>
      <c r="I16" s="111">
        <f>+FundoManeio!I11</f>
        <v>0</v>
      </c>
      <c r="J16" s="111">
        <f>+FundoManeio!J11</f>
        <v>0</v>
      </c>
      <c r="K16" s="111">
        <f>+FundoManeio!K11</f>
        <v>0</v>
      </c>
      <c r="L16" s="111">
        <f>+FundoManeio!L11</f>
        <v>0</v>
      </c>
      <c r="M16" s="111">
        <f>+FundoManeio!M11</f>
        <v>0</v>
      </c>
      <c r="N16" s="164"/>
      <c r="O16" s="164"/>
    </row>
    <row r="17" spans="1:15" ht="12.75">
      <c r="A17" s="58" t="s">
        <v>49</v>
      </c>
      <c r="B17" s="128"/>
      <c r="C17" s="111">
        <f>+FundoManeio!C10-VN!C87</f>
        <v>0</v>
      </c>
      <c r="D17" s="111">
        <f>+FundoManeio!D10-SUM(VN!$C$87:D87)</f>
        <v>0</v>
      </c>
      <c r="E17" s="111">
        <f>+FundoManeio!E10-SUM(VN!$C$87:E87)</f>
        <v>0</v>
      </c>
      <c r="F17" s="111">
        <f>+FundoManeio!F10-SUM(VN!$C$87:F87)</f>
        <v>0</v>
      </c>
      <c r="G17" s="111">
        <f>+FundoManeio!G10-SUM(VN!$C$87:G87)</f>
        <v>0</v>
      </c>
      <c r="H17" s="111">
        <f>+FundoManeio!H10-SUM(VN!$C$87:H87)</f>
        <v>0</v>
      </c>
      <c r="I17" s="111">
        <f>+FundoManeio!I10-SUM(VN!$C$87:I87)</f>
        <v>0</v>
      </c>
      <c r="J17" s="111">
        <f>+FundoManeio!J10-SUM(VN!$C$87:J87)</f>
        <v>0</v>
      </c>
      <c r="K17" s="111">
        <f>+FundoManeio!K10-SUM(VN!$C$87:K87)</f>
        <v>0</v>
      </c>
      <c r="L17" s="111">
        <f>+FundoManeio!L10-SUM(VN!$C$87:L87)</f>
        <v>0</v>
      </c>
      <c r="M17" s="111">
        <f>+FundoManeio!M10-SUM(VN!$C$87:M87)</f>
        <v>0</v>
      </c>
      <c r="N17" s="164"/>
      <c r="O17" s="164"/>
    </row>
    <row r="18" spans="1:15" ht="12.75">
      <c r="A18" s="58" t="s">
        <v>206</v>
      </c>
      <c r="B18" s="128"/>
      <c r="C18" s="111">
        <f>+FundoManeio!C12</f>
        <v>0</v>
      </c>
      <c r="D18" s="111">
        <f>+FundoManeio!D12</f>
        <v>0</v>
      </c>
      <c r="E18" s="111">
        <f>+FundoManeio!E12</f>
        <v>0</v>
      </c>
      <c r="F18" s="111">
        <f>+FundoManeio!F12</f>
        <v>0</v>
      </c>
      <c r="G18" s="111">
        <f>+FundoManeio!G12</f>
        <v>0</v>
      </c>
      <c r="H18" s="111">
        <f>+FundoManeio!H12</f>
        <v>0</v>
      </c>
      <c r="I18" s="111">
        <f>+FundoManeio!I12</f>
        <v>0</v>
      </c>
      <c r="J18" s="111">
        <f>+FundoManeio!J12</f>
        <v>0</v>
      </c>
      <c r="K18" s="111">
        <f>+FundoManeio!K12</f>
        <v>0</v>
      </c>
      <c r="L18" s="111">
        <f>+FundoManeio!L12</f>
        <v>0</v>
      </c>
      <c r="M18" s="111">
        <f>+FundoManeio!M12</f>
        <v>0</v>
      </c>
      <c r="N18" s="164"/>
      <c r="O18" s="164"/>
    </row>
    <row r="19" spans="1:15" ht="12.75">
      <c r="A19" s="58" t="s">
        <v>304</v>
      </c>
      <c r="B19" s="128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64"/>
      <c r="O19" s="164"/>
    </row>
    <row r="20" spans="1:15" ht="12.75">
      <c r="A20" s="58" t="s">
        <v>312</v>
      </c>
      <c r="B20" s="128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64"/>
      <c r="O20" s="164"/>
    </row>
    <row r="21" spans="1:15" ht="12.75">
      <c r="A21" s="58" t="s">
        <v>313</v>
      </c>
      <c r="B21" s="128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64"/>
      <c r="O21" s="164"/>
    </row>
    <row r="22" spans="1:15" ht="12.75">
      <c r="A22" s="58" t="s">
        <v>314</v>
      </c>
      <c r="B22" s="128"/>
      <c r="C22" s="416">
        <f>+IF(PlanoFinanceiro!C29&gt;0,PlanoFinanceiro!C29,0)+FundoManeio!C9</f>
        <v>0</v>
      </c>
      <c r="D22" s="416">
        <f>+IF(PlanoFinanceiro!D29&gt;0,PlanoFinanceiro!D29,0)+FundoManeio!D9</f>
        <v>0</v>
      </c>
      <c r="E22" s="416">
        <f>+IF(PlanoFinanceiro!E29&gt;0,PlanoFinanceiro!E29,0)+FundoManeio!E9</f>
        <v>0</v>
      </c>
      <c r="F22" s="416">
        <f>+IF(PlanoFinanceiro!F29&gt;0,PlanoFinanceiro!F29,0)+FundoManeio!F9</f>
        <v>0</v>
      </c>
      <c r="G22" s="416">
        <f>+IF(PlanoFinanceiro!G29&gt;0,PlanoFinanceiro!G29,0)+FundoManeio!G9</f>
        <v>0</v>
      </c>
      <c r="H22" s="416">
        <f>+IF(PlanoFinanceiro!H29&gt;0,PlanoFinanceiro!H29,0)+FundoManeio!H9</f>
        <v>0</v>
      </c>
      <c r="I22" s="416">
        <f>+IF(PlanoFinanceiro!I29&gt;0,PlanoFinanceiro!I29,0)+FundoManeio!I9</f>
        <v>0</v>
      </c>
      <c r="J22" s="416">
        <f>+IF(PlanoFinanceiro!J29&gt;0,PlanoFinanceiro!J29,0)+FundoManeio!J9</f>
        <v>0</v>
      </c>
      <c r="K22" s="416">
        <f>+IF(PlanoFinanceiro!K29&gt;0,PlanoFinanceiro!K29,0)+FundoManeio!K9</f>
        <v>0</v>
      </c>
      <c r="L22" s="416">
        <f>+IF(PlanoFinanceiro!L29&gt;0,PlanoFinanceiro!L29,0)+FundoManeio!L9</f>
        <v>0</v>
      </c>
      <c r="M22" s="416">
        <f>+IF(PlanoFinanceiro!M29&gt;0,PlanoFinanceiro!M29,0)+FundoManeio!M9</f>
        <v>0</v>
      </c>
      <c r="N22" s="164"/>
      <c r="O22" s="164"/>
    </row>
    <row r="23" spans="1:15" ht="13.5" thickBot="1">
      <c r="A23" s="517" t="s">
        <v>51</v>
      </c>
      <c r="B23" s="518"/>
      <c r="C23" s="243">
        <f>+C15+C9</f>
        <v>0</v>
      </c>
      <c r="D23" s="243">
        <f>+D15+D9</f>
        <v>0</v>
      </c>
      <c r="E23" s="243">
        <f aca="true" t="shared" si="2" ref="E23:M23">+E15+E9</f>
        <v>0</v>
      </c>
      <c r="F23" s="243">
        <f t="shared" si="2"/>
        <v>0</v>
      </c>
      <c r="G23" s="243">
        <f t="shared" si="2"/>
        <v>0</v>
      </c>
      <c r="H23" s="243">
        <f t="shared" si="2"/>
        <v>0</v>
      </c>
      <c r="I23" s="243">
        <f t="shared" si="2"/>
        <v>0</v>
      </c>
      <c r="J23" s="243">
        <f t="shared" si="2"/>
        <v>0</v>
      </c>
      <c r="K23" s="243">
        <f t="shared" si="2"/>
        <v>0</v>
      </c>
      <c r="L23" s="243">
        <f t="shared" si="2"/>
        <v>0</v>
      </c>
      <c r="M23" s="243">
        <f t="shared" si="2"/>
        <v>0</v>
      </c>
      <c r="N23" s="164"/>
      <c r="O23" s="164"/>
    </row>
    <row r="24" spans="1:15" ht="13.5" thickTop="1">
      <c r="A24" s="190"/>
      <c r="B24" s="57"/>
      <c r="C24" s="120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164"/>
      <c r="O24" s="164"/>
    </row>
    <row r="25" spans="1:15" ht="12.75">
      <c r="A25" s="530" t="s">
        <v>207</v>
      </c>
      <c r="B25" s="555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164"/>
      <c r="O25" s="164"/>
    </row>
    <row r="26" spans="1:15" ht="12.75">
      <c r="A26" s="135" t="s">
        <v>292</v>
      </c>
      <c r="B26" s="128"/>
      <c r="C26" s="111">
        <f>+Financiamento!C15</f>
        <v>0</v>
      </c>
      <c r="D26" s="111">
        <f>+C26+Financiamento!D15</f>
        <v>0</v>
      </c>
      <c r="E26" s="111">
        <f>+D26+Financiamento!E15</f>
        <v>0</v>
      </c>
      <c r="F26" s="111">
        <f>+E26+Financiamento!F15</f>
        <v>0</v>
      </c>
      <c r="G26" s="111">
        <f>+F26+Financiamento!G15</f>
        <v>0</v>
      </c>
      <c r="H26" s="111">
        <f>+G26+Financiamento!H15</f>
        <v>0</v>
      </c>
      <c r="I26" s="111">
        <f>+H26+Financiamento!I15</f>
        <v>0</v>
      </c>
      <c r="J26" s="111">
        <f>+I26+Financiamento!J15</f>
        <v>0</v>
      </c>
      <c r="K26" s="111">
        <f>+J26+Financiamento!K15</f>
        <v>0</v>
      </c>
      <c r="L26" s="111">
        <f>+K26+Financiamento!L15</f>
        <v>0</v>
      </c>
      <c r="M26" s="111">
        <f>+L26+Financiamento!M15</f>
        <v>0</v>
      </c>
      <c r="N26" s="164"/>
      <c r="O26" s="164"/>
    </row>
    <row r="27" spans="1:15" ht="12.75">
      <c r="A27" s="135" t="s">
        <v>293</v>
      </c>
      <c r="B27" s="128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64"/>
      <c r="O27" s="164"/>
    </row>
    <row r="28" spans="1:15" ht="12.75">
      <c r="A28" s="135" t="s">
        <v>294</v>
      </c>
      <c r="B28" s="128"/>
      <c r="C28" s="111">
        <f>+Financiamento!C16</f>
        <v>0</v>
      </c>
      <c r="D28" s="111">
        <f>+C28+Financiamento!D16</f>
        <v>0</v>
      </c>
      <c r="E28" s="111">
        <f>+D28+Financiamento!E16</f>
        <v>0</v>
      </c>
      <c r="F28" s="111">
        <f>+E28+Financiamento!F16</f>
        <v>0</v>
      </c>
      <c r="G28" s="111">
        <f>+F28+Financiamento!G16</f>
        <v>0</v>
      </c>
      <c r="H28" s="111">
        <f>+G28+Financiamento!H16</f>
        <v>0</v>
      </c>
      <c r="I28" s="111">
        <f>+H28+Financiamento!I16</f>
        <v>0</v>
      </c>
      <c r="J28" s="111">
        <f>+I28+Financiamento!J16</f>
        <v>0</v>
      </c>
      <c r="K28" s="111">
        <f>+J28+Financiamento!K16</f>
        <v>0</v>
      </c>
      <c r="L28" s="111">
        <f>+K28+Financiamento!L16</f>
        <v>0</v>
      </c>
      <c r="M28" s="111">
        <f>+L28+Financiamento!M16</f>
        <v>0</v>
      </c>
      <c r="N28" s="164"/>
      <c r="O28" s="164"/>
    </row>
    <row r="29" spans="1:15" ht="12.75">
      <c r="A29" s="135" t="s">
        <v>365</v>
      </c>
      <c r="B29" s="128"/>
      <c r="C29" s="111"/>
      <c r="D29" s="111">
        <f>+C29+C32-PlanoFinanceiro!D22</f>
        <v>0</v>
      </c>
      <c r="E29" s="111">
        <f>+D29+D32-PlanoFinanceiro!E22</f>
        <v>0</v>
      </c>
      <c r="F29" s="111">
        <f>+E29+E32-PlanoFinanceiro!F22</f>
        <v>0</v>
      </c>
      <c r="G29" s="111">
        <f>+F29+F32-PlanoFinanceiro!G22</f>
        <v>0</v>
      </c>
      <c r="H29" s="111">
        <f>+G29+G32-PlanoFinanceiro!H22</f>
        <v>0</v>
      </c>
      <c r="I29" s="111">
        <f>+H29+H32-PlanoFinanceiro!I22</f>
        <v>0</v>
      </c>
      <c r="J29" s="111">
        <f>+I29+I32-PlanoFinanceiro!J22</f>
        <v>0</v>
      </c>
      <c r="K29" s="111">
        <f>+J29+J32-PlanoFinanceiro!K22</f>
        <v>0</v>
      </c>
      <c r="L29" s="111">
        <f>+K29+K32-PlanoFinanceiro!L22</f>
        <v>0</v>
      </c>
      <c r="M29" s="111">
        <f>+L29+L32-PlanoFinanceiro!M22</f>
        <v>0</v>
      </c>
      <c r="N29" s="164"/>
      <c r="O29" s="164"/>
    </row>
    <row r="30" spans="1:15" ht="12.75">
      <c r="A30" s="135" t="s">
        <v>295</v>
      </c>
      <c r="B30" s="128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64"/>
      <c r="O30" s="164"/>
    </row>
    <row r="31" spans="1:15" ht="12.75">
      <c r="A31" s="135" t="s">
        <v>296</v>
      </c>
      <c r="B31" s="128"/>
      <c r="C31" s="111">
        <f>+Financiamento!C19</f>
        <v>0</v>
      </c>
      <c r="D31" s="111">
        <f>+C31+Financiamento!D19</f>
        <v>0</v>
      </c>
      <c r="E31" s="111">
        <f>+D31+Financiamento!E19</f>
        <v>0</v>
      </c>
      <c r="F31" s="111">
        <f>+E31+Financiamento!F19</f>
        <v>0</v>
      </c>
      <c r="G31" s="111">
        <f>+F31+Financiamento!G19</f>
        <v>0</v>
      </c>
      <c r="H31" s="111">
        <f>+G31+Financiamento!H19</f>
        <v>0</v>
      </c>
      <c r="I31" s="111">
        <f>+H31+Financiamento!I19</f>
        <v>0</v>
      </c>
      <c r="J31" s="111">
        <f>+I31+Financiamento!J19</f>
        <v>0</v>
      </c>
      <c r="K31" s="111">
        <f>+J31+Financiamento!K19</f>
        <v>0</v>
      </c>
      <c r="L31" s="111">
        <f>+K31+Financiamento!L19</f>
        <v>0</v>
      </c>
      <c r="M31" s="111">
        <f>+L31+Financiamento!M19</f>
        <v>0</v>
      </c>
      <c r="N31" s="164"/>
      <c r="O31" s="164"/>
    </row>
    <row r="32" spans="1:15" ht="12.75">
      <c r="A32" s="135" t="s">
        <v>297</v>
      </c>
      <c r="B32" s="128"/>
      <c r="C32" s="111">
        <f>+'DR'!B31</f>
        <v>0</v>
      </c>
      <c r="D32" s="111">
        <f>+'DR'!C31</f>
        <v>0</v>
      </c>
      <c r="E32" s="111">
        <f>+'DR'!D31</f>
        <v>0</v>
      </c>
      <c r="F32" s="111">
        <f>+'DR'!E31</f>
        <v>0</v>
      </c>
      <c r="G32" s="111">
        <f>+'DR'!F31</f>
        <v>0</v>
      </c>
      <c r="H32" s="111">
        <f>+'DR'!G31</f>
        <v>0</v>
      </c>
      <c r="I32" s="111">
        <f>+'DR'!H31</f>
        <v>0</v>
      </c>
      <c r="J32" s="111">
        <f>+'DR'!I31</f>
        <v>0</v>
      </c>
      <c r="K32" s="111">
        <f>+'DR'!J31</f>
        <v>0</v>
      </c>
      <c r="L32" s="111">
        <f>+'DR'!K31</f>
        <v>0</v>
      </c>
      <c r="M32" s="111">
        <f>+'DR'!L31</f>
        <v>0</v>
      </c>
      <c r="N32" s="164"/>
      <c r="O32" s="164"/>
    </row>
    <row r="33" spans="1:15" ht="13.5" thickBot="1">
      <c r="A33" s="517" t="s">
        <v>298</v>
      </c>
      <c r="B33" s="519"/>
      <c r="C33" s="310">
        <f>SUM(C26:C32)</f>
        <v>0</v>
      </c>
      <c r="D33" s="310">
        <f>SUM(D26:D32)</f>
        <v>0</v>
      </c>
      <c r="E33" s="310">
        <f aca="true" t="shared" si="3" ref="E33:M33">SUM(E26:E32)</f>
        <v>0</v>
      </c>
      <c r="F33" s="310">
        <f t="shared" si="3"/>
        <v>0</v>
      </c>
      <c r="G33" s="310">
        <f t="shared" si="3"/>
        <v>0</v>
      </c>
      <c r="H33" s="310">
        <f t="shared" si="3"/>
        <v>0</v>
      </c>
      <c r="I33" s="310">
        <f t="shared" si="3"/>
        <v>0</v>
      </c>
      <c r="J33" s="310">
        <f t="shared" si="3"/>
        <v>0</v>
      </c>
      <c r="K33" s="310">
        <f t="shared" si="3"/>
        <v>0</v>
      </c>
      <c r="L33" s="310">
        <f t="shared" si="3"/>
        <v>0</v>
      </c>
      <c r="M33" s="310">
        <f t="shared" si="3"/>
        <v>0</v>
      </c>
      <c r="N33" s="164"/>
      <c r="O33" s="164"/>
    </row>
    <row r="34" spans="1:15" ht="13.5" thickTop="1">
      <c r="A34" s="57"/>
      <c r="B34" s="57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164"/>
      <c r="O34" s="164"/>
    </row>
    <row r="35" spans="1:15" ht="12.75">
      <c r="A35" s="556" t="s">
        <v>52</v>
      </c>
      <c r="B35" s="557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164"/>
      <c r="O35" s="164"/>
    </row>
    <row r="36" spans="1:15" ht="12.75">
      <c r="A36" s="147"/>
      <c r="B36" s="128"/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164"/>
      <c r="O36" s="164"/>
    </row>
    <row r="37" spans="1:15" ht="12.75">
      <c r="A37" s="147" t="s">
        <v>299</v>
      </c>
      <c r="B37" s="128"/>
      <c r="C37" s="150">
        <f>SUM(C38:C40)</f>
        <v>0</v>
      </c>
      <c r="D37" s="150">
        <f>SUM(D38:D40)</f>
        <v>0</v>
      </c>
      <c r="E37" s="150">
        <f aca="true" t="shared" si="4" ref="E37:M37">SUM(E38:E40)</f>
        <v>0</v>
      </c>
      <c r="F37" s="150">
        <f t="shared" si="4"/>
        <v>0</v>
      </c>
      <c r="G37" s="150">
        <f t="shared" si="4"/>
        <v>0</v>
      </c>
      <c r="H37" s="150">
        <f t="shared" si="4"/>
        <v>0</v>
      </c>
      <c r="I37" s="150">
        <f t="shared" si="4"/>
        <v>0</v>
      </c>
      <c r="J37" s="150">
        <f t="shared" si="4"/>
        <v>0</v>
      </c>
      <c r="K37" s="150">
        <f t="shared" si="4"/>
        <v>0</v>
      </c>
      <c r="L37" s="150">
        <f t="shared" si="4"/>
        <v>0</v>
      </c>
      <c r="M37" s="150">
        <f t="shared" si="4"/>
        <v>0</v>
      </c>
      <c r="N37" s="164"/>
      <c r="O37" s="164"/>
    </row>
    <row r="38" spans="1:15" ht="12.75">
      <c r="A38" s="58" t="s">
        <v>300</v>
      </c>
      <c r="B38" s="128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64"/>
      <c r="O38" s="164"/>
    </row>
    <row r="39" spans="1:15" ht="12.75">
      <c r="A39" s="58" t="s">
        <v>301</v>
      </c>
      <c r="B39" s="128"/>
      <c r="C39" s="111">
        <f>+Financiamento!C101</f>
        <v>0</v>
      </c>
      <c r="D39" s="111">
        <f>+Financiamento!D101</f>
        <v>0</v>
      </c>
      <c r="E39" s="111">
        <f>+Financiamento!E101</f>
        <v>0</v>
      </c>
      <c r="F39" s="111">
        <f>+Financiamento!F101</f>
        <v>0</v>
      </c>
      <c r="G39" s="111">
        <f>+Financiamento!G101</f>
        <v>0</v>
      </c>
      <c r="H39" s="111">
        <f>+Financiamento!H101</f>
        <v>0</v>
      </c>
      <c r="I39" s="111">
        <f>+Financiamento!I101</f>
        <v>0</v>
      </c>
      <c r="J39" s="111">
        <f>+Financiamento!J101</f>
        <v>0</v>
      </c>
      <c r="K39" s="111">
        <f>+Financiamento!K101</f>
        <v>0</v>
      </c>
      <c r="L39" s="111">
        <f>+Financiamento!L101</f>
        <v>0</v>
      </c>
      <c r="M39" s="111">
        <f>+Financiamento!M101</f>
        <v>0</v>
      </c>
      <c r="N39" s="164"/>
      <c r="O39" s="164"/>
    </row>
    <row r="40" spans="1:15" ht="12.75">
      <c r="A40" s="58" t="s">
        <v>302</v>
      </c>
      <c r="B40" s="128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164"/>
      <c r="O40" s="164"/>
    </row>
    <row r="41" spans="1:15" ht="12.75">
      <c r="A41" s="58"/>
      <c r="B41" s="128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164"/>
      <c r="O41" s="164"/>
    </row>
    <row r="42" spans="1:15" ht="12.75">
      <c r="A42" s="147" t="s">
        <v>303</v>
      </c>
      <c r="B42" s="128"/>
      <c r="C42" s="363">
        <f>SUM(C43:C47)</f>
        <v>0</v>
      </c>
      <c r="D42" s="363">
        <f>SUM(D43:D47)</f>
        <v>0</v>
      </c>
      <c r="E42" s="363">
        <f aca="true" t="shared" si="5" ref="E42:M42">SUM(E43:E47)</f>
        <v>0</v>
      </c>
      <c r="F42" s="363">
        <f t="shared" si="5"/>
        <v>0</v>
      </c>
      <c r="G42" s="363">
        <f t="shared" si="5"/>
        <v>0</v>
      </c>
      <c r="H42" s="363">
        <f t="shared" si="5"/>
        <v>0</v>
      </c>
      <c r="I42" s="363">
        <f t="shared" si="5"/>
        <v>0</v>
      </c>
      <c r="J42" s="363">
        <f t="shared" si="5"/>
        <v>0</v>
      </c>
      <c r="K42" s="363">
        <f t="shared" si="5"/>
        <v>0</v>
      </c>
      <c r="L42" s="363">
        <f t="shared" si="5"/>
        <v>0</v>
      </c>
      <c r="M42" s="363">
        <f t="shared" si="5"/>
        <v>0</v>
      </c>
      <c r="N42" s="164"/>
      <c r="O42" s="164"/>
    </row>
    <row r="43" spans="1:15" ht="12.75">
      <c r="A43" s="58" t="s">
        <v>16</v>
      </c>
      <c r="B43" s="128"/>
      <c r="C43" s="245">
        <f>+FundoManeio!C17</f>
        <v>0</v>
      </c>
      <c r="D43" s="245">
        <f>+FundoManeio!D17</f>
        <v>0</v>
      </c>
      <c r="E43" s="245">
        <f>+FundoManeio!E17</f>
        <v>0</v>
      </c>
      <c r="F43" s="245">
        <f>+FundoManeio!F17</f>
        <v>0</v>
      </c>
      <c r="G43" s="245">
        <f>+FundoManeio!G17</f>
        <v>0</v>
      </c>
      <c r="H43" s="245">
        <f>+FundoManeio!H17</f>
        <v>0</v>
      </c>
      <c r="I43" s="245">
        <f>+FundoManeio!I17</f>
        <v>0</v>
      </c>
      <c r="J43" s="245">
        <f>+FundoManeio!J17</f>
        <v>0</v>
      </c>
      <c r="K43" s="245">
        <f>+FundoManeio!K17</f>
        <v>0</v>
      </c>
      <c r="L43" s="245">
        <f>+FundoManeio!L17</f>
        <v>0</v>
      </c>
      <c r="M43" s="245">
        <f>+FundoManeio!M17</f>
        <v>0</v>
      </c>
      <c r="N43" s="164"/>
      <c r="O43" s="164"/>
    </row>
    <row r="44" spans="1:15" ht="12.75">
      <c r="A44" s="58" t="s">
        <v>206</v>
      </c>
      <c r="B44" s="128"/>
      <c r="C44" s="245">
        <f>+FundoManeio!C18+'DR'!B30</f>
        <v>0</v>
      </c>
      <c r="D44" s="245">
        <f>+FundoManeio!D18+'DR'!C30</f>
        <v>0</v>
      </c>
      <c r="E44" s="245">
        <f>+FundoManeio!E18+'DR'!D30</f>
        <v>0</v>
      </c>
      <c r="F44" s="245">
        <f>+FundoManeio!F18+'DR'!E30</f>
        <v>0</v>
      </c>
      <c r="G44" s="245">
        <f>+FundoManeio!G18+'DR'!F30</f>
        <v>0</v>
      </c>
      <c r="H44" s="245">
        <f>+FundoManeio!H18+'DR'!G30</f>
        <v>0</v>
      </c>
      <c r="I44" s="245">
        <f>+FundoManeio!I18+'DR'!H30</f>
        <v>0</v>
      </c>
      <c r="J44" s="245">
        <f>+FundoManeio!J18+'DR'!I30</f>
        <v>0</v>
      </c>
      <c r="K44" s="245">
        <f>+FundoManeio!K18+'DR'!J30</f>
        <v>0</v>
      </c>
      <c r="L44" s="245">
        <f>+FundoManeio!L18+'DR'!K30</f>
        <v>0</v>
      </c>
      <c r="M44" s="245">
        <f>+FundoManeio!M18+'DR'!L30</f>
        <v>0</v>
      </c>
      <c r="N44" s="164"/>
      <c r="O44" s="164"/>
    </row>
    <row r="45" spans="1:15" ht="12.75">
      <c r="A45" s="58" t="s">
        <v>304</v>
      </c>
      <c r="B45" s="128"/>
      <c r="C45" s="245">
        <f>+Financiamento!C17</f>
        <v>0</v>
      </c>
      <c r="D45" s="245">
        <f>+C45+Financiamento!D17</f>
        <v>0</v>
      </c>
      <c r="E45" s="245">
        <f>+D45+Financiamento!E17</f>
        <v>0</v>
      </c>
      <c r="F45" s="245">
        <f>+E45+Financiamento!F17</f>
        <v>0</v>
      </c>
      <c r="G45" s="245">
        <f>+F45+Financiamento!G17</f>
        <v>0</v>
      </c>
      <c r="H45" s="245">
        <f>+G45+Financiamento!H17</f>
        <v>0</v>
      </c>
      <c r="I45" s="245">
        <f>+H45+Financiamento!I17</f>
        <v>0</v>
      </c>
      <c r="J45" s="245">
        <f>+I45+Financiamento!J17</f>
        <v>0</v>
      </c>
      <c r="K45" s="245">
        <f>+J45+Financiamento!K17</f>
        <v>0</v>
      </c>
      <c r="L45" s="245">
        <f>+K45+Financiamento!L17</f>
        <v>0</v>
      </c>
      <c r="M45" s="245">
        <f>+L45+Financiamento!M17</f>
        <v>0</v>
      </c>
      <c r="N45" s="164"/>
      <c r="O45" s="164"/>
    </row>
    <row r="46" spans="1:15" ht="12.75">
      <c r="A46" s="58" t="s">
        <v>305</v>
      </c>
      <c r="B46" s="128"/>
      <c r="C46" s="416">
        <f>+IF(PlanoFinanceiro!C29&lt;0,-PlanoFinanceiro!C29,0)</f>
        <v>0</v>
      </c>
      <c r="D46" s="416">
        <f>+IF(PlanoFinanceiro!D29&lt;0,-PlanoFinanceiro!D29,0)</f>
        <v>0</v>
      </c>
      <c r="E46" s="416">
        <f>+IF(PlanoFinanceiro!E29&lt;0,-PlanoFinanceiro!E29,0)</f>
        <v>0</v>
      </c>
      <c r="F46" s="416">
        <f>+IF(PlanoFinanceiro!F29&lt;0,-PlanoFinanceiro!F29,0)</f>
        <v>0</v>
      </c>
      <c r="G46" s="416">
        <f>+IF(PlanoFinanceiro!G29&lt;0,-PlanoFinanceiro!G29,0)</f>
        <v>0</v>
      </c>
      <c r="H46" s="416">
        <f>+IF(PlanoFinanceiro!H29&lt;0,-PlanoFinanceiro!H29,0)</f>
        <v>0</v>
      </c>
      <c r="I46" s="416">
        <f>+IF(PlanoFinanceiro!I29&lt;0,-PlanoFinanceiro!I29,0)</f>
        <v>0</v>
      </c>
      <c r="J46" s="416">
        <f>+IF(PlanoFinanceiro!J29&lt;0,-PlanoFinanceiro!J29,0)</f>
        <v>0</v>
      </c>
      <c r="K46" s="416">
        <f>+IF(PlanoFinanceiro!K29&lt;0,-PlanoFinanceiro!K29,0)</f>
        <v>0</v>
      </c>
      <c r="L46" s="416">
        <f>+IF(PlanoFinanceiro!L29&lt;0,-PlanoFinanceiro!L29,0)</f>
        <v>0</v>
      </c>
      <c r="M46" s="416">
        <f>+IF(PlanoFinanceiro!M29&lt;0,-PlanoFinanceiro!M29,0)</f>
        <v>0</v>
      </c>
      <c r="N46" s="164"/>
      <c r="O46" s="164"/>
    </row>
    <row r="47" spans="1:15" ht="12.75">
      <c r="A47" s="58" t="s">
        <v>306</v>
      </c>
      <c r="B47" s="128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164"/>
      <c r="O47" s="164"/>
    </row>
    <row r="48" spans="1:15" ht="12.75">
      <c r="A48" s="147"/>
      <c r="B48" s="128"/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164"/>
      <c r="O48" s="164"/>
    </row>
    <row r="49" spans="1:15" ht="13.5" thickBot="1">
      <c r="A49" s="517" t="s">
        <v>53</v>
      </c>
      <c r="B49" s="519"/>
      <c r="C49" s="310">
        <f>+C42+C37</f>
        <v>0</v>
      </c>
      <c r="D49" s="310">
        <f>+D42+D37</f>
        <v>0</v>
      </c>
      <c r="E49" s="310">
        <f aca="true" t="shared" si="6" ref="E49:M49">+E42+E37</f>
        <v>0</v>
      </c>
      <c r="F49" s="310">
        <f t="shared" si="6"/>
        <v>0</v>
      </c>
      <c r="G49" s="310">
        <f t="shared" si="6"/>
        <v>0</v>
      </c>
      <c r="H49" s="310">
        <f t="shared" si="6"/>
        <v>0</v>
      </c>
      <c r="I49" s="310">
        <f t="shared" si="6"/>
        <v>0</v>
      </c>
      <c r="J49" s="310">
        <f t="shared" si="6"/>
        <v>0</v>
      </c>
      <c r="K49" s="310">
        <f t="shared" si="6"/>
        <v>0</v>
      </c>
      <c r="L49" s="310">
        <f t="shared" si="6"/>
        <v>0</v>
      </c>
      <c r="M49" s="310">
        <f t="shared" si="6"/>
        <v>0</v>
      </c>
      <c r="N49" s="164"/>
      <c r="O49" s="164"/>
    </row>
    <row r="50" spans="1:15" ht="13.5" thickTop="1">
      <c r="A50" s="115"/>
      <c r="B50" s="115"/>
      <c r="C50" s="222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164"/>
      <c r="O50" s="164"/>
    </row>
    <row r="51" spans="1:15" ht="13.5" thickBot="1">
      <c r="A51" s="518" t="s">
        <v>208</v>
      </c>
      <c r="B51" s="518"/>
      <c r="C51" s="36">
        <f>+C49+C33</f>
        <v>0</v>
      </c>
      <c r="D51" s="36">
        <f>+D49+D33</f>
        <v>0</v>
      </c>
      <c r="E51" s="36">
        <f aca="true" t="shared" si="7" ref="E51:M51">+E49+E33</f>
        <v>0</v>
      </c>
      <c r="F51" s="36">
        <f t="shared" si="7"/>
        <v>0</v>
      </c>
      <c r="G51" s="36">
        <f t="shared" si="7"/>
        <v>0</v>
      </c>
      <c r="H51" s="36">
        <f t="shared" si="7"/>
        <v>0</v>
      </c>
      <c r="I51" s="36">
        <f t="shared" si="7"/>
        <v>0</v>
      </c>
      <c r="J51" s="36">
        <f t="shared" si="7"/>
        <v>0</v>
      </c>
      <c r="K51" s="36">
        <f t="shared" si="7"/>
        <v>0</v>
      </c>
      <c r="L51" s="36">
        <f t="shared" si="7"/>
        <v>0</v>
      </c>
      <c r="M51" s="36">
        <f t="shared" si="7"/>
        <v>0</v>
      </c>
      <c r="N51" s="164"/>
      <c r="O51" s="164"/>
    </row>
    <row r="52" spans="3:13" ht="13.5" thickTop="1"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</row>
    <row r="53" spans="3:13" ht="12.75">
      <c r="C53" s="275">
        <f>+C23-C51</f>
        <v>0</v>
      </c>
      <c r="D53" s="275">
        <f>+D23-D51</f>
        <v>0</v>
      </c>
      <c r="E53" s="275">
        <f aca="true" t="shared" si="8" ref="E53:M53">+E23-E51</f>
        <v>0</v>
      </c>
      <c r="F53" s="275">
        <f t="shared" si="8"/>
        <v>0</v>
      </c>
      <c r="G53" s="275">
        <f t="shared" si="8"/>
        <v>0</v>
      </c>
      <c r="H53" s="275">
        <f t="shared" si="8"/>
        <v>0</v>
      </c>
      <c r="I53" s="275">
        <f t="shared" si="8"/>
        <v>0</v>
      </c>
      <c r="J53" s="275">
        <f t="shared" si="8"/>
        <v>0</v>
      </c>
      <c r="K53" s="275">
        <f t="shared" si="8"/>
        <v>0</v>
      </c>
      <c r="L53" s="275">
        <f t="shared" si="8"/>
        <v>0</v>
      </c>
      <c r="M53" s="275">
        <f t="shared" si="8"/>
        <v>0</v>
      </c>
    </row>
    <row r="54" spans="3:13" ht="12.75">
      <c r="C54" s="246"/>
      <c r="D54" s="248">
        <f>+D53-C53</f>
        <v>0</v>
      </c>
      <c r="E54" s="248"/>
      <c r="F54" s="248"/>
      <c r="G54" s="248"/>
      <c r="H54" s="248"/>
      <c r="I54" s="248"/>
      <c r="J54" s="248">
        <f>+J53-D53</f>
        <v>0</v>
      </c>
      <c r="K54" s="248">
        <f>+K53-J53</f>
        <v>0</v>
      </c>
      <c r="L54" s="248">
        <f>+L53-K53</f>
        <v>0</v>
      </c>
      <c r="M54" s="248">
        <f>+M53-L53</f>
        <v>0</v>
      </c>
    </row>
    <row r="55" spans="3:13" ht="12.75"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</row>
    <row r="56" spans="3:13" ht="12.75">
      <c r="C56" s="246"/>
      <c r="D56" s="247"/>
      <c r="E56" s="247"/>
      <c r="F56" s="247"/>
      <c r="G56" s="247"/>
      <c r="H56" s="247"/>
      <c r="I56" s="247"/>
      <c r="J56" s="249"/>
      <c r="K56" s="249"/>
      <c r="L56" s="246"/>
      <c r="M56" s="246"/>
    </row>
    <row r="57" spans="3:13" ht="12.75">
      <c r="C57" s="241"/>
      <c r="D57" s="241"/>
      <c r="E57" s="241"/>
      <c r="F57" s="241"/>
      <c r="G57" s="241"/>
      <c r="H57" s="241"/>
      <c r="I57" s="241"/>
      <c r="J57" s="241"/>
      <c r="K57" s="241"/>
      <c r="L57" s="241"/>
      <c r="M57" s="241"/>
    </row>
    <row r="58" spans="3:13" ht="12.75"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</row>
    <row r="59" spans="3:13" ht="12.75">
      <c r="C59" s="241"/>
      <c r="D59" s="241"/>
      <c r="E59" s="241"/>
      <c r="F59" s="241"/>
      <c r="G59" s="241"/>
      <c r="H59" s="241"/>
      <c r="I59" s="241"/>
      <c r="J59" s="241"/>
      <c r="K59" s="241"/>
      <c r="L59" s="241"/>
      <c r="M59" s="241"/>
    </row>
  </sheetData>
  <sheetProtection password="8318" sheet="1"/>
  <mergeCells count="8">
    <mergeCell ref="A51:B51"/>
    <mergeCell ref="A33:B33"/>
    <mergeCell ref="A4:M4"/>
    <mergeCell ref="A8:B8"/>
    <mergeCell ref="A23:B23"/>
    <mergeCell ref="A25:B25"/>
    <mergeCell ref="A35:B35"/>
    <mergeCell ref="A49:B4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2"/>
  <headerFooter alignWithMargins="0">
    <oddFooter>&amp;C&amp;"Arial,Normal"&amp;8IAPMEI&amp;R&amp;"Arial,Normal"&amp;8&amp;P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L28"/>
  <sheetViews>
    <sheetView showGridLines="0" zoomScalePageLayoutView="0" workbookViewId="0" topLeftCell="A1">
      <selection activeCell="H34" sqref="H34"/>
    </sheetView>
  </sheetViews>
  <sheetFormatPr defaultColWidth="8.7109375" defaultRowHeight="12.75"/>
  <cols>
    <col min="1" max="1" width="28.28125" style="67" bestFit="1" customWidth="1"/>
    <col min="2" max="12" width="9.00390625" style="67" customWidth="1"/>
    <col min="13" max="16" width="11.421875" style="67" customWidth="1"/>
    <col min="17" max="16384" width="8.7109375" style="67" customWidth="1"/>
  </cols>
  <sheetData>
    <row r="1" spans="1:12" ht="12.75">
      <c r="A1" s="57"/>
      <c r="B1" s="57"/>
      <c r="C1" s="51"/>
      <c r="D1" s="51"/>
      <c r="E1" s="51"/>
      <c r="F1" s="51"/>
      <c r="G1" s="51"/>
      <c r="H1" s="51"/>
      <c r="I1" s="51"/>
      <c r="J1" s="51"/>
      <c r="K1" s="48" t="str">
        <f>+VN!L1</f>
        <v>Empresa:</v>
      </c>
      <c r="L1" s="93" t="str">
        <f>+Pressupostos!E1</f>
        <v>XPTO SA</v>
      </c>
    </row>
    <row r="2" spans="1:12" ht="12.7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2.7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15.75">
      <c r="A4" s="508" t="s">
        <v>59</v>
      </c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</row>
    <row r="5" spans="1:12" ht="13.5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13.5" thickBot="1">
      <c r="A6" s="365" t="s">
        <v>118</v>
      </c>
      <c r="B6" s="366">
        <f>+VN!C8</f>
        <v>2016</v>
      </c>
      <c r="C6" s="366">
        <f>+VN!D8</f>
        <v>2017</v>
      </c>
      <c r="D6" s="366">
        <f>+VN!E8</f>
        <v>2018</v>
      </c>
      <c r="E6" s="366">
        <f>+VN!F8</f>
        <v>2019</v>
      </c>
      <c r="F6" s="366">
        <f>+VN!G8</f>
        <v>2020</v>
      </c>
      <c r="G6" s="366">
        <f>+VN!H8</f>
        <v>2021</v>
      </c>
      <c r="H6" s="366">
        <f>+VN!I8</f>
        <v>2022</v>
      </c>
      <c r="I6" s="366">
        <f>+VN!J8</f>
        <v>2023</v>
      </c>
      <c r="J6" s="366">
        <f>+VN!K8</f>
        <v>2024</v>
      </c>
      <c r="K6" s="366">
        <f>+VN!L8</f>
        <v>2025</v>
      </c>
      <c r="L6" s="366">
        <f>+VN!M8</f>
        <v>2026</v>
      </c>
    </row>
    <row r="7" spans="1:12" ht="12.75">
      <c r="A7" s="371" t="s">
        <v>116</v>
      </c>
      <c r="B7" s="193"/>
      <c r="C7" s="193" t="e">
        <f>+('DR'!C8/'DR'!B8)-1</f>
        <v>#DIV/0!</v>
      </c>
      <c r="D7" s="193" t="e">
        <f>+('DR'!D8/'DR'!C8)-1</f>
        <v>#DIV/0!</v>
      </c>
      <c r="E7" s="193" t="e">
        <f>+('DR'!E8/'DR'!D8)-1</f>
        <v>#DIV/0!</v>
      </c>
      <c r="F7" s="193" t="e">
        <f>+('DR'!F8/'DR'!E8)-1</f>
        <v>#DIV/0!</v>
      </c>
      <c r="G7" s="193" t="e">
        <f>+('DR'!G8/'DR'!F8)-1</f>
        <v>#DIV/0!</v>
      </c>
      <c r="H7" s="193" t="e">
        <f>+('DR'!H8/'DR'!G8)-1</f>
        <v>#DIV/0!</v>
      </c>
      <c r="I7" s="193" t="e">
        <f>+('DR'!I8/'DR'!H8)-1</f>
        <v>#DIV/0!</v>
      </c>
      <c r="J7" s="193" t="e">
        <f>+('DR'!J8/'DR'!I8)-1</f>
        <v>#DIV/0!</v>
      </c>
      <c r="K7" s="193" t="e">
        <f>+('DR'!K8/'DR'!J8)-1</f>
        <v>#DIV/0!</v>
      </c>
      <c r="L7" s="193" t="e">
        <f>+('DR'!L8/'DR'!K8)-1</f>
        <v>#DIV/0!</v>
      </c>
    </row>
    <row r="8" spans="1:12" ht="13.5" thickBot="1">
      <c r="A8" s="371" t="s">
        <v>405</v>
      </c>
      <c r="B8" s="367" t="e">
        <f>'DR'!B31/'DR'!B8</f>
        <v>#DIV/0!</v>
      </c>
      <c r="C8" s="367" t="e">
        <f>'DR'!C31/'DR'!C8</f>
        <v>#DIV/0!</v>
      </c>
      <c r="D8" s="367" t="e">
        <f>'DR'!D31/'DR'!D8</f>
        <v>#DIV/0!</v>
      </c>
      <c r="E8" s="367" t="e">
        <f>'DR'!E31/'DR'!E8</f>
        <v>#DIV/0!</v>
      </c>
      <c r="F8" s="367" t="e">
        <f>'DR'!F31/'DR'!F8</f>
        <v>#DIV/0!</v>
      </c>
      <c r="G8" s="367" t="e">
        <f>'DR'!G31/'DR'!G8</f>
        <v>#DIV/0!</v>
      </c>
      <c r="H8" s="367" t="e">
        <f>'DR'!H31/'DR'!H8</f>
        <v>#DIV/0!</v>
      </c>
      <c r="I8" s="367" t="e">
        <f>'DR'!I31/'DR'!I8</f>
        <v>#DIV/0!</v>
      </c>
      <c r="J8" s="367" t="e">
        <f>'DR'!J31/'DR'!J8</f>
        <v>#DIV/0!</v>
      </c>
      <c r="K8" s="367" t="e">
        <f>'DR'!K31/'DR'!K8</f>
        <v>#DIV/0!</v>
      </c>
      <c r="L8" s="367" t="e">
        <f>'DR'!L31/'DR'!L8</f>
        <v>#DIV/0!</v>
      </c>
    </row>
    <row r="9" spans="1:12" ht="13.5" thickBot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pans="1:12" ht="13.5" thickBot="1">
      <c r="A10" s="365" t="s">
        <v>117</v>
      </c>
      <c r="B10" s="366">
        <f>+B6</f>
        <v>2016</v>
      </c>
      <c r="C10" s="366">
        <f>+C6</f>
        <v>2017</v>
      </c>
      <c r="D10" s="366">
        <f aca="true" t="shared" si="0" ref="D10:L10">+D6</f>
        <v>2018</v>
      </c>
      <c r="E10" s="366">
        <f t="shared" si="0"/>
        <v>2019</v>
      </c>
      <c r="F10" s="366">
        <f t="shared" si="0"/>
        <v>2020</v>
      </c>
      <c r="G10" s="366">
        <f t="shared" si="0"/>
        <v>2021</v>
      </c>
      <c r="H10" s="366">
        <f t="shared" si="0"/>
        <v>2022</v>
      </c>
      <c r="I10" s="366">
        <f t="shared" si="0"/>
        <v>2023</v>
      </c>
      <c r="J10" s="366">
        <f t="shared" si="0"/>
        <v>2024</v>
      </c>
      <c r="K10" s="366">
        <f t="shared" si="0"/>
        <v>2025</v>
      </c>
      <c r="L10" s="366">
        <f t="shared" si="0"/>
        <v>2026</v>
      </c>
    </row>
    <row r="11" spans="1:12" ht="12.75">
      <c r="A11" s="371" t="s">
        <v>121</v>
      </c>
      <c r="B11" s="193" t="e">
        <f>'DR'!B31/Balanço!C23</f>
        <v>#DIV/0!</v>
      </c>
      <c r="C11" s="193" t="e">
        <f>'DR'!C31/Balanço!D23</f>
        <v>#DIV/0!</v>
      </c>
      <c r="D11" s="193" t="e">
        <f>'DR'!D31/Balanço!E23</f>
        <v>#DIV/0!</v>
      </c>
      <c r="E11" s="193" t="e">
        <f>'DR'!E31/Balanço!F23</f>
        <v>#DIV/0!</v>
      </c>
      <c r="F11" s="193" t="e">
        <f>'DR'!F31/Balanço!G23</f>
        <v>#DIV/0!</v>
      </c>
      <c r="G11" s="193" t="e">
        <f>'DR'!G31/Balanço!H23</f>
        <v>#DIV/0!</v>
      </c>
      <c r="H11" s="193" t="e">
        <f>'DR'!H31/Balanço!I23</f>
        <v>#DIV/0!</v>
      </c>
      <c r="I11" s="193" t="e">
        <f>'DR'!I31/Balanço!J23</f>
        <v>#DIV/0!</v>
      </c>
      <c r="J11" s="193" t="e">
        <f>'DR'!J31/Balanço!K23</f>
        <v>#DIV/0!</v>
      </c>
      <c r="K11" s="193" t="e">
        <f>'DR'!K31/Balanço!L23</f>
        <v>#DIV/0!</v>
      </c>
      <c r="L11" s="193" t="e">
        <f>'DR'!L31/Balanço!M23</f>
        <v>#DIV/0!</v>
      </c>
    </row>
    <row r="12" spans="1:12" ht="12.75">
      <c r="A12" s="371" t="s">
        <v>122</v>
      </c>
      <c r="B12" s="193" t="e">
        <f>+'DR'!B26/Balanço!C23</f>
        <v>#DIV/0!</v>
      </c>
      <c r="C12" s="193" t="e">
        <f>+'DR'!C26/Balanço!D23</f>
        <v>#DIV/0!</v>
      </c>
      <c r="D12" s="193" t="e">
        <f>+'DR'!D26/Balanço!E23</f>
        <v>#DIV/0!</v>
      </c>
      <c r="E12" s="193" t="e">
        <f>+'DR'!E26/Balanço!F23</f>
        <v>#DIV/0!</v>
      </c>
      <c r="F12" s="193" t="e">
        <f>+'DR'!F26/Balanço!G23</f>
        <v>#DIV/0!</v>
      </c>
      <c r="G12" s="193" t="e">
        <f>+'DR'!G26/Balanço!H23</f>
        <v>#DIV/0!</v>
      </c>
      <c r="H12" s="193" t="e">
        <f>+'DR'!H26/Balanço!I23</f>
        <v>#DIV/0!</v>
      </c>
      <c r="I12" s="193" t="e">
        <f>+'DR'!I26/Balanço!J23</f>
        <v>#DIV/0!</v>
      </c>
      <c r="J12" s="193" t="e">
        <f>+'DR'!J26/Balanço!K23</f>
        <v>#DIV/0!</v>
      </c>
      <c r="K12" s="193" t="e">
        <f>+'DR'!K26/Balanço!L23</f>
        <v>#DIV/0!</v>
      </c>
      <c r="L12" s="193" t="e">
        <f>+'DR'!L26/Balanço!M23</f>
        <v>#DIV/0!</v>
      </c>
    </row>
    <row r="13" spans="1:12" ht="12.75">
      <c r="A13" s="371" t="s">
        <v>123</v>
      </c>
      <c r="B13" s="193" t="e">
        <f>'DR'!B8/Balanço!C23</f>
        <v>#DIV/0!</v>
      </c>
      <c r="C13" s="193" t="e">
        <f>'DR'!C8/Balanço!D23</f>
        <v>#DIV/0!</v>
      </c>
      <c r="D13" s="193" t="e">
        <f>'DR'!D8/Balanço!E23</f>
        <v>#DIV/0!</v>
      </c>
      <c r="E13" s="193" t="e">
        <f>'DR'!E8/Balanço!F23</f>
        <v>#DIV/0!</v>
      </c>
      <c r="F13" s="193" t="e">
        <f>'DR'!F8/Balanço!G23</f>
        <v>#DIV/0!</v>
      </c>
      <c r="G13" s="193" t="e">
        <f>'DR'!G8/Balanço!H23</f>
        <v>#DIV/0!</v>
      </c>
      <c r="H13" s="193" t="e">
        <f>'DR'!H8/Balanço!I23</f>
        <v>#DIV/0!</v>
      </c>
      <c r="I13" s="193" t="e">
        <f>'DR'!I8/Balanço!J23</f>
        <v>#DIV/0!</v>
      </c>
      <c r="J13" s="193" t="e">
        <f>'DR'!J8/Balanço!K23</f>
        <v>#DIV/0!</v>
      </c>
      <c r="K13" s="193" t="e">
        <f>'DR'!K8/Balanço!L23</f>
        <v>#DIV/0!</v>
      </c>
      <c r="L13" s="193" t="e">
        <f>'DR'!L8/Balanço!M23</f>
        <v>#DIV/0!</v>
      </c>
    </row>
    <row r="14" spans="1:12" ht="13.5" thickBot="1">
      <c r="A14" s="371" t="s">
        <v>124</v>
      </c>
      <c r="B14" s="367" t="e">
        <f>+'DR'!B31/Balanço!C33</f>
        <v>#DIV/0!</v>
      </c>
      <c r="C14" s="367" t="e">
        <f>+'DR'!C31/Balanço!D33</f>
        <v>#DIV/0!</v>
      </c>
      <c r="D14" s="367" t="e">
        <f>+'DR'!D31/Balanço!E33</f>
        <v>#DIV/0!</v>
      </c>
      <c r="E14" s="367" t="e">
        <f>+'DR'!E31/Balanço!F33</f>
        <v>#DIV/0!</v>
      </c>
      <c r="F14" s="367" t="e">
        <f>+'DR'!F31/Balanço!G33</f>
        <v>#DIV/0!</v>
      </c>
      <c r="G14" s="367" t="e">
        <f>+'DR'!G31/Balanço!H33</f>
        <v>#DIV/0!</v>
      </c>
      <c r="H14" s="367" t="e">
        <f>+'DR'!H31/Balanço!I33</f>
        <v>#DIV/0!</v>
      </c>
      <c r="I14" s="367" t="e">
        <f>+'DR'!I31/Balanço!J33</f>
        <v>#DIV/0!</v>
      </c>
      <c r="J14" s="367" t="e">
        <f>+'DR'!J31/Balanço!K33</f>
        <v>#DIV/0!</v>
      </c>
      <c r="K14" s="367" t="e">
        <f>+'DR'!K31/Balanço!L33</f>
        <v>#DIV/0!</v>
      </c>
      <c r="L14" s="367" t="e">
        <f>+'DR'!L31/Balanço!M33</f>
        <v>#DIV/0!</v>
      </c>
    </row>
    <row r="15" spans="1:12" ht="13.5" thickBot="1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</row>
    <row r="16" spans="1:12" ht="13.5" thickBot="1">
      <c r="A16" s="365" t="s">
        <v>119</v>
      </c>
      <c r="B16" s="369">
        <f>+B6</f>
        <v>2016</v>
      </c>
      <c r="C16" s="369">
        <f>+C6</f>
        <v>2017</v>
      </c>
      <c r="D16" s="369">
        <f aca="true" t="shared" si="1" ref="D16:L16">+D6</f>
        <v>2018</v>
      </c>
      <c r="E16" s="369">
        <f t="shared" si="1"/>
        <v>2019</v>
      </c>
      <c r="F16" s="369">
        <f t="shared" si="1"/>
        <v>2020</v>
      </c>
      <c r="G16" s="369">
        <f t="shared" si="1"/>
        <v>2021</v>
      </c>
      <c r="H16" s="369">
        <f t="shared" si="1"/>
        <v>2022</v>
      </c>
      <c r="I16" s="369">
        <f t="shared" si="1"/>
        <v>2023</v>
      </c>
      <c r="J16" s="369">
        <f t="shared" si="1"/>
        <v>2024</v>
      </c>
      <c r="K16" s="369">
        <f t="shared" si="1"/>
        <v>2025</v>
      </c>
      <c r="L16" s="369">
        <f t="shared" si="1"/>
        <v>2026</v>
      </c>
    </row>
    <row r="17" spans="1:12" ht="12.75">
      <c r="A17" s="371" t="s">
        <v>17</v>
      </c>
      <c r="B17" s="193" t="e">
        <f>Balanço!C33/Balanço!C23</f>
        <v>#DIV/0!</v>
      </c>
      <c r="C17" s="193" t="e">
        <f>Balanço!D33/Balanço!D23</f>
        <v>#DIV/0!</v>
      </c>
      <c r="D17" s="193" t="e">
        <f>Balanço!E33/Balanço!E23</f>
        <v>#DIV/0!</v>
      </c>
      <c r="E17" s="193" t="e">
        <f>Balanço!F33/Balanço!F23</f>
        <v>#DIV/0!</v>
      </c>
      <c r="F17" s="193" t="e">
        <f>Balanço!G33/Balanço!G23</f>
        <v>#DIV/0!</v>
      </c>
      <c r="G17" s="193" t="e">
        <f>Balanço!H33/Balanço!H23</f>
        <v>#DIV/0!</v>
      </c>
      <c r="H17" s="193" t="e">
        <f>Balanço!I33/Balanço!I23</f>
        <v>#DIV/0!</v>
      </c>
      <c r="I17" s="193" t="e">
        <f>Balanço!J33/Balanço!J23</f>
        <v>#DIV/0!</v>
      </c>
      <c r="J17" s="193" t="e">
        <f>Balanço!K33/Balanço!K23</f>
        <v>#DIV/0!</v>
      </c>
      <c r="K17" s="193" t="e">
        <f>Balanço!L33/Balanço!L23</f>
        <v>#DIV/0!</v>
      </c>
      <c r="L17" s="193" t="e">
        <f>Balanço!M33/Balanço!M23</f>
        <v>#DIV/0!</v>
      </c>
    </row>
    <row r="18" spans="1:12" ht="12.75">
      <c r="A18" s="371" t="s">
        <v>14</v>
      </c>
      <c r="B18" s="193" t="e">
        <f>Balanço!C23/Balanço!C49</f>
        <v>#DIV/0!</v>
      </c>
      <c r="C18" s="193" t="e">
        <f>Balanço!D23/Balanço!D49</f>
        <v>#DIV/0!</v>
      </c>
      <c r="D18" s="193" t="e">
        <f>Balanço!E23/Balanço!E49</f>
        <v>#DIV/0!</v>
      </c>
      <c r="E18" s="193" t="e">
        <f>Balanço!F23/Balanço!F49</f>
        <v>#DIV/0!</v>
      </c>
      <c r="F18" s="193" t="e">
        <f>Balanço!G23/Balanço!G49</f>
        <v>#DIV/0!</v>
      </c>
      <c r="G18" s="193" t="e">
        <f>Balanço!H23/Balanço!H49</f>
        <v>#DIV/0!</v>
      </c>
      <c r="H18" s="193" t="e">
        <f>Balanço!I23/Balanço!I49</f>
        <v>#DIV/0!</v>
      </c>
      <c r="I18" s="193" t="e">
        <f>Balanço!J23/Balanço!J49</f>
        <v>#DIV/0!</v>
      </c>
      <c r="J18" s="193" t="e">
        <f>Balanço!K23/Balanço!K49</f>
        <v>#DIV/0!</v>
      </c>
      <c r="K18" s="193" t="e">
        <f>Balanço!L23/Balanço!L49</f>
        <v>#DIV/0!</v>
      </c>
      <c r="L18" s="193" t="e">
        <f>Balanço!M23/Balanço!M49</f>
        <v>#DIV/0!</v>
      </c>
    </row>
    <row r="19" spans="1:12" ht="13.5" thickBot="1">
      <c r="A19" s="371" t="s">
        <v>391</v>
      </c>
      <c r="B19" s="370" t="e">
        <f>+'DR'!B26/'DR'!B28</f>
        <v>#DIV/0!</v>
      </c>
      <c r="C19" s="370" t="e">
        <f>+'DR'!C26/'DR'!C28</f>
        <v>#DIV/0!</v>
      </c>
      <c r="D19" s="370" t="e">
        <f>+'DR'!D26/'DR'!D28</f>
        <v>#DIV/0!</v>
      </c>
      <c r="E19" s="370" t="e">
        <f>+'DR'!E26/'DR'!E28</f>
        <v>#DIV/0!</v>
      </c>
      <c r="F19" s="370" t="e">
        <f>+'DR'!F26/'DR'!F28</f>
        <v>#DIV/0!</v>
      </c>
      <c r="G19" s="370" t="e">
        <f>+'DR'!G26/'DR'!G28</f>
        <v>#DIV/0!</v>
      </c>
      <c r="H19" s="370" t="e">
        <f>+'DR'!H26/'DR'!H28</f>
        <v>#DIV/0!</v>
      </c>
      <c r="I19" s="370" t="e">
        <f>+'DR'!I26/'DR'!I28</f>
        <v>#DIV/0!</v>
      </c>
      <c r="J19" s="370" t="e">
        <f>+'DR'!J26/'DR'!J28</f>
        <v>#DIV/0!</v>
      </c>
      <c r="K19" s="370" t="e">
        <f>+'DR'!K26/'DR'!K28</f>
        <v>#DIV/0!</v>
      </c>
      <c r="L19" s="370" t="e">
        <f>+'DR'!L26/'DR'!L28</f>
        <v>#DIV/0!</v>
      </c>
    </row>
    <row r="20" spans="1:12" ht="13.5" thickBot="1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</row>
    <row r="21" spans="1:12" ht="13.5" thickBot="1">
      <c r="A21" s="365" t="s">
        <v>120</v>
      </c>
      <c r="B21" s="366">
        <f>+B6</f>
        <v>2016</v>
      </c>
      <c r="C21" s="366">
        <f>+C6</f>
        <v>2017</v>
      </c>
      <c r="D21" s="366">
        <f aca="true" t="shared" si="2" ref="D21:L21">+D6</f>
        <v>2018</v>
      </c>
      <c r="E21" s="366">
        <f t="shared" si="2"/>
        <v>2019</v>
      </c>
      <c r="F21" s="366">
        <f t="shared" si="2"/>
        <v>2020</v>
      </c>
      <c r="G21" s="366">
        <f t="shared" si="2"/>
        <v>2021</v>
      </c>
      <c r="H21" s="366">
        <f t="shared" si="2"/>
        <v>2022</v>
      </c>
      <c r="I21" s="366">
        <f t="shared" si="2"/>
        <v>2023</v>
      </c>
      <c r="J21" s="366">
        <f t="shared" si="2"/>
        <v>2024</v>
      </c>
      <c r="K21" s="366">
        <f t="shared" si="2"/>
        <v>2025</v>
      </c>
      <c r="L21" s="366">
        <f t="shared" si="2"/>
        <v>2026</v>
      </c>
    </row>
    <row r="22" spans="1:12" ht="12.75">
      <c r="A22" s="371" t="s">
        <v>390</v>
      </c>
      <c r="B22" s="364" t="e">
        <f>Balanço!C15/Balanço!C42</f>
        <v>#DIV/0!</v>
      </c>
      <c r="C22" s="364" t="e">
        <f>Balanço!D15/Balanço!D42</f>
        <v>#DIV/0!</v>
      </c>
      <c r="D22" s="364" t="e">
        <f>Balanço!E15/Balanço!E42</f>
        <v>#DIV/0!</v>
      </c>
      <c r="E22" s="364" t="e">
        <f>Balanço!F15/Balanço!F42</f>
        <v>#DIV/0!</v>
      </c>
      <c r="F22" s="364" t="e">
        <f>Balanço!G15/Balanço!G42</f>
        <v>#DIV/0!</v>
      </c>
      <c r="G22" s="364" t="e">
        <f>Balanço!H15/Balanço!H42</f>
        <v>#DIV/0!</v>
      </c>
      <c r="H22" s="364" t="e">
        <f>Balanço!I15/Balanço!I42</f>
        <v>#DIV/0!</v>
      </c>
      <c r="I22" s="364" t="e">
        <f>Balanço!J15/Balanço!J42</f>
        <v>#DIV/0!</v>
      </c>
      <c r="J22" s="364" t="e">
        <f>Balanço!K15/Balanço!K42</f>
        <v>#DIV/0!</v>
      </c>
      <c r="K22" s="364" t="e">
        <f>Balanço!L15/Balanço!L42</f>
        <v>#DIV/0!</v>
      </c>
      <c r="L22" s="364" t="e">
        <f>Balanço!M15/Balanço!M42</f>
        <v>#DIV/0!</v>
      </c>
    </row>
    <row r="23" spans="1:12" ht="13.5" thickBot="1">
      <c r="A23" s="371" t="s">
        <v>15</v>
      </c>
      <c r="B23" s="368" t="e">
        <f>(Balanço!C17+Balanço!C18+Balanço!C19+Balanço!C20+Balanço!C21+Balanço!C22)/Balanço!C42</f>
        <v>#DIV/0!</v>
      </c>
      <c r="C23" s="368" t="e">
        <f>(Balanço!D17+Balanço!D18+Balanço!D19+Balanço!D20+Balanço!D21+Balanço!D22)/Balanço!D42</f>
        <v>#DIV/0!</v>
      </c>
      <c r="D23" s="368" t="e">
        <f>(Balanço!E17+Balanço!E18+Balanço!E19+Balanço!E20+Balanço!E21+Balanço!E22)/Balanço!E42</f>
        <v>#DIV/0!</v>
      </c>
      <c r="E23" s="368" t="e">
        <f>(Balanço!F17+Balanço!F18+Balanço!F19+Balanço!F20+Balanço!F21+Balanço!F22)/Balanço!F42</f>
        <v>#DIV/0!</v>
      </c>
      <c r="F23" s="368" t="e">
        <f>(Balanço!G17+Balanço!G18+Balanço!G19+Balanço!G20+Balanço!G21+Balanço!G22)/Balanço!G42</f>
        <v>#DIV/0!</v>
      </c>
      <c r="G23" s="368" t="e">
        <f>(Balanço!H17+Balanço!H18+Balanço!H19+Balanço!H20+Balanço!H21+Balanço!H22)/Balanço!H42</f>
        <v>#DIV/0!</v>
      </c>
      <c r="H23" s="368" t="e">
        <f>(Balanço!I17+Balanço!I18+Balanço!I19+Balanço!I20+Balanço!I21+Balanço!I22)/Balanço!I42</f>
        <v>#DIV/0!</v>
      </c>
      <c r="I23" s="368" t="e">
        <f>(Balanço!J17+Balanço!J18+Balanço!J19+Balanço!J20+Balanço!J21+Balanço!J22)/Balanço!J42</f>
        <v>#DIV/0!</v>
      </c>
      <c r="J23" s="368" t="e">
        <f>(Balanço!K17+Balanço!K18+Balanço!K19+Balanço!K20+Balanço!K21+Balanço!K22)/Balanço!K42</f>
        <v>#DIV/0!</v>
      </c>
      <c r="K23" s="368" t="e">
        <f>(Balanço!L17+Balanço!L18+Balanço!L19+Balanço!L20+Balanço!L21+Balanço!L22)/Balanço!L42</f>
        <v>#DIV/0!</v>
      </c>
      <c r="L23" s="368" t="e">
        <f>(Balanço!M17+Balanço!M18+Balanço!M19+Balanço!M20+Balanço!M21+Balanço!M22)/Balanço!M42</f>
        <v>#DIV/0!</v>
      </c>
    </row>
    <row r="24" spans="1:12" ht="13.5" thickBo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</row>
    <row r="25" spans="1:12" ht="13.5" thickBot="1">
      <c r="A25" s="365" t="s">
        <v>125</v>
      </c>
      <c r="B25" s="366">
        <f>+B6</f>
        <v>2016</v>
      </c>
      <c r="C25" s="366">
        <f>+C6</f>
        <v>2017</v>
      </c>
      <c r="D25" s="366">
        <f aca="true" t="shared" si="3" ref="D25:L25">+D6</f>
        <v>2018</v>
      </c>
      <c r="E25" s="366">
        <f t="shared" si="3"/>
        <v>2019</v>
      </c>
      <c r="F25" s="366">
        <f t="shared" si="3"/>
        <v>2020</v>
      </c>
      <c r="G25" s="366">
        <f t="shared" si="3"/>
        <v>2021</v>
      </c>
      <c r="H25" s="366">
        <f t="shared" si="3"/>
        <v>2022</v>
      </c>
      <c r="I25" s="366">
        <f t="shared" si="3"/>
        <v>2023</v>
      </c>
      <c r="J25" s="366">
        <f t="shared" si="3"/>
        <v>2024</v>
      </c>
      <c r="K25" s="366">
        <f t="shared" si="3"/>
        <v>2025</v>
      </c>
      <c r="L25" s="366">
        <f t="shared" si="3"/>
        <v>2026</v>
      </c>
    </row>
    <row r="26" spans="1:12" ht="12.75">
      <c r="A26" s="371" t="s">
        <v>66</v>
      </c>
      <c r="B26" s="233">
        <f>'DR'!B8-'DR'!B11-'DR'!B13-'DR'!B14</f>
        <v>0</v>
      </c>
      <c r="C26" s="233">
        <f>'DR'!C8-'DR'!C11-'DR'!C13-'DR'!C14</f>
        <v>0</v>
      </c>
      <c r="D26" s="233">
        <f>'DR'!D8-'DR'!D11-'DR'!D13-'DR'!D14</f>
        <v>0</v>
      </c>
      <c r="E26" s="233">
        <f>'DR'!E8-'DR'!E11-'DR'!E13-'DR'!E14</f>
        <v>0</v>
      </c>
      <c r="F26" s="233">
        <f>'DR'!F8-'DR'!F11-'DR'!F13-'DR'!F14</f>
        <v>0</v>
      </c>
      <c r="G26" s="233">
        <f>'DR'!G8-'DR'!G11-'DR'!G13-'DR'!G14</f>
        <v>0</v>
      </c>
      <c r="H26" s="233">
        <f>'DR'!H8-'DR'!H11-'DR'!H13-'DR'!H14</f>
        <v>0</v>
      </c>
      <c r="I26" s="233">
        <f>'DR'!I8-'DR'!I11-'DR'!I13-'DR'!I14</f>
        <v>0</v>
      </c>
      <c r="J26" s="233">
        <f>'DR'!J8-'DR'!J11-'DR'!J13-'DR'!J14</f>
        <v>0</v>
      </c>
      <c r="K26" s="233">
        <f>'DR'!K8-'DR'!K11-'DR'!K13-'DR'!K14</f>
        <v>0</v>
      </c>
      <c r="L26" s="233">
        <f>'DR'!L8-'DR'!L11-'DR'!L13-'DR'!L14</f>
        <v>0</v>
      </c>
    </row>
    <row r="27" spans="1:12" ht="12.75">
      <c r="A27" s="371" t="s">
        <v>209</v>
      </c>
      <c r="B27" s="193" t="e">
        <f>+B26/'DR'!B26</f>
        <v>#DIV/0!</v>
      </c>
      <c r="C27" s="193" t="e">
        <f>+C26/'DR'!C26</f>
        <v>#DIV/0!</v>
      </c>
      <c r="D27" s="193" t="e">
        <f>+D26/'DR'!D26</f>
        <v>#DIV/0!</v>
      </c>
      <c r="E27" s="193" t="e">
        <f>+E26/'DR'!E26</f>
        <v>#DIV/0!</v>
      </c>
      <c r="F27" s="193" t="e">
        <f>+F26/'DR'!F26</f>
        <v>#DIV/0!</v>
      </c>
      <c r="G27" s="193" t="e">
        <f>+G26/'DR'!G26</f>
        <v>#DIV/0!</v>
      </c>
      <c r="H27" s="193" t="e">
        <f>+H26/'DR'!H26</f>
        <v>#DIV/0!</v>
      </c>
      <c r="I27" s="193" t="e">
        <f>+I26/'DR'!I26</f>
        <v>#DIV/0!</v>
      </c>
      <c r="J27" s="193" t="e">
        <f>+J26/'DR'!J26</f>
        <v>#DIV/0!</v>
      </c>
      <c r="K27" s="193" t="e">
        <f>+K26/'DR'!K26</f>
        <v>#DIV/0!</v>
      </c>
      <c r="L27" s="193" t="e">
        <f>+L26/'DR'!L26</f>
        <v>#DIV/0!</v>
      </c>
    </row>
    <row r="28" spans="1:12" ht="13.5" thickBot="1">
      <c r="A28" s="371" t="s">
        <v>392</v>
      </c>
      <c r="B28" s="367" t="e">
        <f>+'DR'!B26/'DR'!B29</f>
        <v>#DIV/0!</v>
      </c>
      <c r="C28" s="367" t="e">
        <f>+'DR'!C26/'DR'!C29</f>
        <v>#DIV/0!</v>
      </c>
      <c r="D28" s="367" t="e">
        <f>+'DR'!D26/'DR'!D29</f>
        <v>#DIV/0!</v>
      </c>
      <c r="E28" s="367" t="e">
        <f>+'DR'!E26/'DR'!E29</f>
        <v>#DIV/0!</v>
      </c>
      <c r="F28" s="367" t="e">
        <f>+'DR'!F26/'DR'!F29</f>
        <v>#DIV/0!</v>
      </c>
      <c r="G28" s="367" t="e">
        <f>+'DR'!G26/'DR'!G29</f>
        <v>#DIV/0!</v>
      </c>
      <c r="H28" s="367" t="e">
        <f>+'DR'!H26/'DR'!H29</f>
        <v>#DIV/0!</v>
      </c>
      <c r="I28" s="367" t="e">
        <f>+'DR'!I26/'DR'!I29</f>
        <v>#DIV/0!</v>
      </c>
      <c r="J28" s="367" t="e">
        <f>+'DR'!J26/'DR'!J29</f>
        <v>#DIV/0!</v>
      </c>
      <c r="K28" s="367" t="e">
        <f>+'DR'!K26/'DR'!K29</f>
        <v>#DIV/0!</v>
      </c>
      <c r="L28" s="367" t="e">
        <f>+'DR'!L26/'DR'!L29</f>
        <v>#DIV/0!</v>
      </c>
    </row>
  </sheetData>
  <sheetProtection password="8318" sheet="1"/>
  <mergeCells count="1">
    <mergeCell ref="A4:L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9" r:id="rId2"/>
  <headerFooter alignWithMargins="0">
    <oddFooter>&amp;C&amp;"Arial,Normal"&amp;8IAPMEI&amp;R&amp;"Arial,Normal"&amp;8&amp;P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S82"/>
  <sheetViews>
    <sheetView showGridLines="0" zoomScalePageLayoutView="0" workbookViewId="0" topLeftCell="A1">
      <selection activeCell="F20" sqref="F20"/>
    </sheetView>
  </sheetViews>
  <sheetFormatPr defaultColWidth="8.7109375" defaultRowHeight="12.75"/>
  <cols>
    <col min="1" max="1" width="34.57421875" style="67" customWidth="1"/>
    <col min="2" max="2" width="3.8515625" style="67" customWidth="1"/>
    <col min="3" max="13" width="7.57421875" style="67" customWidth="1"/>
    <col min="14" max="14" width="8.7109375" style="67" customWidth="1"/>
    <col min="15" max="15" width="11.8515625" style="67" customWidth="1"/>
    <col min="16" max="17" width="8.7109375" style="67" customWidth="1"/>
    <col min="18" max="18" width="8.28125" style="67" customWidth="1"/>
    <col min="19" max="19" width="13.140625" style="67" customWidth="1"/>
    <col min="20" max="16384" width="8.7109375" style="67" customWidth="1"/>
  </cols>
  <sheetData>
    <row r="1" spans="1:14" ht="12.75">
      <c r="A1" s="57"/>
      <c r="B1" s="57"/>
      <c r="C1" s="51"/>
      <c r="D1" s="51"/>
      <c r="E1" s="51"/>
      <c r="F1" s="51"/>
      <c r="G1" s="51"/>
      <c r="H1" s="51"/>
      <c r="I1" s="51"/>
      <c r="J1" s="51"/>
      <c r="K1" s="51"/>
      <c r="L1" s="48" t="str">
        <f>+VN!L1</f>
        <v>Empresa:</v>
      </c>
      <c r="M1" s="49" t="str">
        <f>+Pressupostos!E1</f>
        <v>XPTO SA</v>
      </c>
      <c r="N1" s="250"/>
    </row>
    <row r="2" spans="1:13" ht="12.7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12.7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12.75">
      <c r="A4" s="558" t="s">
        <v>171</v>
      </c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</row>
    <row r="5" spans="1:13" ht="12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3" ht="12.7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8" ht="13.5">
      <c r="A7" s="564" t="s">
        <v>451</v>
      </c>
      <c r="B7" s="565"/>
      <c r="C7" s="54">
        <f aca="true" t="shared" si="0" ref="C7:M7">+C27</f>
        <v>2016</v>
      </c>
      <c r="D7" s="54">
        <f t="shared" si="0"/>
        <v>2017</v>
      </c>
      <c r="E7" s="54">
        <f t="shared" si="0"/>
        <v>2018</v>
      </c>
      <c r="F7" s="54">
        <f t="shared" si="0"/>
        <v>2019</v>
      </c>
      <c r="G7" s="54">
        <f t="shared" si="0"/>
        <v>2020</v>
      </c>
      <c r="H7" s="54">
        <f t="shared" si="0"/>
        <v>2021</v>
      </c>
      <c r="I7" s="54">
        <f t="shared" si="0"/>
        <v>2022</v>
      </c>
      <c r="J7" s="54">
        <f t="shared" si="0"/>
        <v>2023</v>
      </c>
      <c r="K7" s="54">
        <f t="shared" si="0"/>
        <v>2024</v>
      </c>
      <c r="L7" s="54">
        <f t="shared" si="0"/>
        <v>2025</v>
      </c>
      <c r="M7" s="54">
        <f t="shared" si="0"/>
        <v>2026</v>
      </c>
      <c r="O7" s="391"/>
      <c r="P7" s="391" t="s">
        <v>2</v>
      </c>
      <c r="Q7" s="391" t="s">
        <v>3</v>
      </c>
      <c r="R7" s="391"/>
    </row>
    <row r="8" spans="1:18" ht="12.75">
      <c r="A8" s="146"/>
      <c r="B8" s="146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568" t="s">
        <v>459</v>
      </c>
      <c r="O8" s="391" t="s">
        <v>22</v>
      </c>
      <c r="P8" s="392">
        <f>+C14</f>
        <v>0</v>
      </c>
      <c r="Q8" s="392">
        <f>+P8</f>
        <v>0</v>
      </c>
      <c r="R8" s="393" t="b">
        <f aca="true" t="shared" si="1" ref="R8:R13">IF(Q8&gt;0,Q8/P8*12)</f>
        <v>0</v>
      </c>
    </row>
    <row r="9" spans="1:18" ht="12.75">
      <c r="A9" s="68" t="s">
        <v>130</v>
      </c>
      <c r="B9" s="78"/>
      <c r="C9" s="252">
        <f>+C29</f>
        <v>0</v>
      </c>
      <c r="D9" s="252">
        <f>+D29</f>
        <v>0</v>
      </c>
      <c r="E9" s="252">
        <f>+E29</f>
        <v>0</v>
      </c>
      <c r="F9" s="252">
        <f aca="true" t="shared" si="2" ref="F9:L9">+F29</f>
        <v>0</v>
      </c>
      <c r="G9" s="252">
        <f t="shared" si="2"/>
        <v>0</v>
      </c>
      <c r="H9" s="252">
        <f t="shared" si="2"/>
        <v>0</v>
      </c>
      <c r="I9" s="252">
        <f t="shared" si="2"/>
        <v>0</v>
      </c>
      <c r="J9" s="252">
        <f t="shared" si="2"/>
        <v>0</v>
      </c>
      <c r="K9" s="252">
        <f t="shared" si="2"/>
        <v>0</v>
      </c>
      <c r="L9" s="252">
        <f t="shared" si="2"/>
        <v>0</v>
      </c>
      <c r="M9" s="419">
        <f>+R20</f>
        <v>0</v>
      </c>
      <c r="N9" s="568"/>
      <c r="O9" s="391" t="s">
        <v>23</v>
      </c>
      <c r="P9" s="392">
        <f>+D14</f>
        <v>0</v>
      </c>
      <c r="Q9" s="392">
        <f>+Q8+P9</f>
        <v>0</v>
      </c>
      <c r="R9" s="394" t="b">
        <f t="shared" si="1"/>
        <v>0</v>
      </c>
    </row>
    <row r="10" spans="1:18" ht="12.75">
      <c r="A10" s="253"/>
      <c r="B10" s="60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568"/>
      <c r="O10" s="391" t="s">
        <v>24</v>
      </c>
      <c r="P10" s="392">
        <f>+E14</f>
        <v>0</v>
      </c>
      <c r="Q10" s="392">
        <f>+Q9+P10</f>
        <v>0</v>
      </c>
      <c r="R10" s="394" t="b">
        <f t="shared" si="1"/>
        <v>0</v>
      </c>
    </row>
    <row r="11" spans="1:18" ht="12.75">
      <c r="A11" s="135" t="s">
        <v>419</v>
      </c>
      <c r="B11" s="255"/>
      <c r="C11" s="256">
        <f>+C53</f>
        <v>0.052500000000000005</v>
      </c>
      <c r="D11" s="256">
        <f>+D53</f>
        <v>0.052500000000000005</v>
      </c>
      <c r="E11" s="256">
        <f>+E53</f>
        <v>0.052500000000000005</v>
      </c>
      <c r="F11" s="256">
        <f aca="true" t="shared" si="3" ref="F11:L11">+F53</f>
        <v>0.052500000000000005</v>
      </c>
      <c r="G11" s="256">
        <f t="shared" si="3"/>
        <v>0.052500000000000005</v>
      </c>
      <c r="H11" s="256">
        <f t="shared" si="3"/>
        <v>0.052500000000000005</v>
      </c>
      <c r="I11" s="256">
        <f t="shared" si="3"/>
        <v>0.052500000000000005</v>
      </c>
      <c r="J11" s="256">
        <f t="shared" si="3"/>
        <v>0.052500000000000005</v>
      </c>
      <c r="K11" s="256">
        <f t="shared" si="3"/>
        <v>0.052500000000000005</v>
      </c>
      <c r="L11" s="256">
        <f t="shared" si="3"/>
        <v>0.052500000000000005</v>
      </c>
      <c r="M11" s="256">
        <f>+M53</f>
        <v>0.052500000000000005</v>
      </c>
      <c r="O11" s="391" t="s">
        <v>25</v>
      </c>
      <c r="P11" s="392">
        <f>+J14</f>
        <v>0</v>
      </c>
      <c r="Q11" s="392">
        <f>+Q10+P11</f>
        <v>0</v>
      </c>
      <c r="R11" s="395" t="b">
        <f t="shared" si="1"/>
        <v>0</v>
      </c>
    </row>
    <row r="12" spans="1:18" ht="12.75">
      <c r="A12" s="196" t="s">
        <v>133</v>
      </c>
      <c r="B12" s="257"/>
      <c r="C12" s="402">
        <v>1</v>
      </c>
      <c r="D12" s="259">
        <f>+C12*(1+D11)</f>
        <v>1.0525</v>
      </c>
      <c r="E12" s="259">
        <f>+D12*(1+E11)</f>
        <v>1.10775625</v>
      </c>
      <c r="F12" s="259">
        <f aca="true" t="shared" si="4" ref="F12:L12">+E12*(1+F11)</f>
        <v>1.165913453125</v>
      </c>
      <c r="G12" s="259">
        <f t="shared" si="4"/>
        <v>1.2271239094140625</v>
      </c>
      <c r="H12" s="259">
        <f t="shared" si="4"/>
        <v>1.2915479146583007</v>
      </c>
      <c r="I12" s="259">
        <f t="shared" si="4"/>
        <v>1.3593541801778615</v>
      </c>
      <c r="J12" s="259">
        <f t="shared" si="4"/>
        <v>1.4307202746371992</v>
      </c>
      <c r="K12" s="259">
        <f t="shared" si="4"/>
        <v>1.5058330890556522</v>
      </c>
      <c r="L12" s="259">
        <f t="shared" si="4"/>
        <v>1.584889326231074</v>
      </c>
      <c r="M12" s="406" t="s">
        <v>426</v>
      </c>
      <c r="O12" s="391" t="s">
        <v>26</v>
      </c>
      <c r="P12" s="392">
        <f>+K14</f>
        <v>0</v>
      </c>
      <c r="Q12" s="392">
        <f>+Q11+P12</f>
        <v>0</v>
      </c>
      <c r="R12" s="395" t="b">
        <f t="shared" si="1"/>
        <v>0</v>
      </c>
    </row>
    <row r="13" spans="15:18" ht="12.75">
      <c r="O13" s="391" t="s">
        <v>27</v>
      </c>
      <c r="P13" s="392">
        <f>+L14</f>
        <v>0</v>
      </c>
      <c r="Q13" s="392">
        <f>+Q12+P13</f>
        <v>0</v>
      </c>
      <c r="R13" s="395" t="b">
        <f t="shared" si="1"/>
        <v>0</v>
      </c>
    </row>
    <row r="14" spans="1:13" ht="12.75">
      <c r="A14" s="68" t="s">
        <v>132</v>
      </c>
      <c r="B14" s="78"/>
      <c r="C14" s="252">
        <f>+C9/C12</f>
        <v>0</v>
      </c>
      <c r="D14" s="252">
        <f>+D9/D12</f>
        <v>0</v>
      </c>
      <c r="E14" s="252">
        <f>+E9/E12</f>
        <v>0</v>
      </c>
      <c r="F14" s="252">
        <f aca="true" t="shared" si="5" ref="F14:L14">+F9/F12</f>
        <v>0</v>
      </c>
      <c r="G14" s="252">
        <f t="shared" si="5"/>
        <v>0</v>
      </c>
      <c r="H14" s="252">
        <f t="shared" si="5"/>
        <v>0</v>
      </c>
      <c r="I14" s="252">
        <f t="shared" si="5"/>
        <v>0</v>
      </c>
      <c r="J14" s="252">
        <f t="shared" si="5"/>
        <v>0</v>
      </c>
      <c r="K14" s="252">
        <f t="shared" si="5"/>
        <v>0</v>
      </c>
      <c r="L14" s="252">
        <f t="shared" si="5"/>
        <v>0</v>
      </c>
      <c r="M14" s="252">
        <f>+M9/L12</f>
        <v>0</v>
      </c>
    </row>
    <row r="15" spans="1:13" ht="12.75">
      <c r="A15" s="57"/>
      <c r="B15" s="146"/>
      <c r="C15" s="261"/>
      <c r="D15" s="57"/>
      <c r="E15" s="57"/>
      <c r="F15" s="57"/>
      <c r="G15" s="57"/>
      <c r="H15" s="57"/>
      <c r="I15" s="57"/>
      <c r="J15" s="57"/>
      <c r="K15" s="57"/>
      <c r="L15" s="57"/>
      <c r="M15" s="251"/>
    </row>
    <row r="16" spans="1:13" ht="12.75">
      <c r="A16" s="68" t="s">
        <v>420</v>
      </c>
      <c r="B16" s="78"/>
      <c r="C16" s="252">
        <f>+C14</f>
        <v>0</v>
      </c>
      <c r="D16" s="252">
        <f>+C16+D14</f>
        <v>0</v>
      </c>
      <c r="E16" s="252">
        <f>+D16+E14</f>
        <v>0</v>
      </c>
      <c r="F16" s="252">
        <f aca="true" t="shared" si="6" ref="F16:L16">+E16+F14</f>
        <v>0</v>
      </c>
      <c r="G16" s="252">
        <f t="shared" si="6"/>
        <v>0</v>
      </c>
      <c r="H16" s="252">
        <f t="shared" si="6"/>
        <v>0</v>
      </c>
      <c r="I16" s="252">
        <f t="shared" si="6"/>
        <v>0</v>
      </c>
      <c r="J16" s="252">
        <f t="shared" si="6"/>
        <v>0</v>
      </c>
      <c r="K16" s="252">
        <f t="shared" si="6"/>
        <v>0</v>
      </c>
      <c r="L16" s="252">
        <f t="shared" si="6"/>
        <v>0</v>
      </c>
      <c r="M16" s="252">
        <f>+L16+M14</f>
        <v>0</v>
      </c>
    </row>
    <row r="17" spans="1:18" ht="12.75">
      <c r="A17" s="57"/>
      <c r="B17" s="146"/>
      <c r="C17" s="261"/>
      <c r="D17" s="57"/>
      <c r="E17" s="57"/>
      <c r="F17" s="57"/>
      <c r="G17" s="57"/>
      <c r="H17" s="57"/>
      <c r="I17" s="57"/>
      <c r="J17" s="57"/>
      <c r="K17" s="251"/>
      <c r="L17" s="251"/>
      <c r="M17" s="251"/>
      <c r="O17" s="422" t="s">
        <v>411</v>
      </c>
      <c r="P17" s="422"/>
      <c r="Q17" s="75"/>
      <c r="R17" s="75"/>
    </row>
    <row r="18" spans="1:18" ht="13.5">
      <c r="A18" s="285" t="s">
        <v>210</v>
      </c>
      <c r="B18" s="286"/>
      <c r="C18" s="410">
        <f>+M16</f>
        <v>0</v>
      </c>
      <c r="D18" s="288"/>
      <c r="E18" s="289"/>
      <c r="F18" s="289"/>
      <c r="G18" s="289"/>
      <c r="H18" s="289"/>
      <c r="I18" s="289"/>
      <c r="J18" s="290"/>
      <c r="K18" s="291"/>
      <c r="L18" s="288"/>
      <c r="M18" s="288"/>
      <c r="O18" s="396" t="s">
        <v>413</v>
      </c>
      <c r="P18" s="396"/>
      <c r="Q18" s="396"/>
      <c r="R18" s="423">
        <f>($L$9*(1+Pressupostos!$B$38))/(Avaliação!$M$11-Pressupostos!$B$38)</f>
        <v>0</v>
      </c>
    </row>
    <row r="19" spans="1:18" ht="12.75">
      <c r="A19" s="57"/>
      <c r="B19" s="265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O19" s="397" t="s">
        <v>412</v>
      </c>
      <c r="P19" s="293"/>
      <c r="Q19" s="293"/>
      <c r="R19" s="414"/>
    </row>
    <row r="20" spans="1:18" ht="12.75" customHeight="1">
      <c r="A20" s="68" t="s">
        <v>0</v>
      </c>
      <c r="B20" s="78"/>
      <c r="C20" s="411" t="e">
        <f>IRR(C9:M9,0.1)</f>
        <v>#NUM!</v>
      </c>
      <c r="D20" s="267"/>
      <c r="E20" s="267"/>
      <c r="F20" s="267"/>
      <c r="G20" s="267"/>
      <c r="H20" s="267"/>
      <c r="I20" s="267"/>
      <c r="J20" s="267"/>
      <c r="K20" s="267"/>
      <c r="L20" s="251"/>
      <c r="M20" s="251"/>
      <c r="O20" s="561" t="s">
        <v>424</v>
      </c>
      <c r="P20" s="561"/>
      <c r="Q20" s="561"/>
      <c r="R20" s="562">
        <f>(+Balanço!$M$9+FundoManeio!$M$22)/(L12*(1+M11))</f>
        <v>0</v>
      </c>
    </row>
    <row r="21" spans="1:18" ht="12.75">
      <c r="A21" s="57"/>
      <c r="B21" s="57"/>
      <c r="C21" s="409"/>
      <c r="D21" s="57"/>
      <c r="E21" s="57"/>
      <c r="F21" s="57"/>
      <c r="G21" s="57"/>
      <c r="H21" s="57"/>
      <c r="I21" s="57"/>
      <c r="J21" s="57"/>
      <c r="K21" s="57"/>
      <c r="L21" s="57"/>
      <c r="M21" s="57"/>
      <c r="O21" s="561"/>
      <c r="P21" s="561"/>
      <c r="Q21" s="561"/>
      <c r="R21" s="563"/>
    </row>
    <row r="22" spans="1:13" ht="12.75">
      <c r="A22" s="68" t="s">
        <v>439</v>
      </c>
      <c r="B22" s="78"/>
      <c r="C22" s="412">
        <f>COUNTIF(R8:R13,"falso")</f>
        <v>0</v>
      </c>
      <c r="D22" s="268" t="s">
        <v>7</v>
      </c>
      <c r="E22" s="284"/>
      <c r="F22" s="284"/>
      <c r="G22" s="284"/>
      <c r="H22" s="284"/>
      <c r="I22" s="284"/>
      <c r="J22" s="57"/>
      <c r="K22" s="57"/>
      <c r="L22" s="57"/>
      <c r="M22" s="57"/>
    </row>
    <row r="23" spans="1:13" ht="12.75">
      <c r="A23" s="253"/>
      <c r="B23" s="60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</row>
    <row r="24" spans="1:13" ht="12.75">
      <c r="A24" s="413"/>
      <c r="B24" s="413"/>
      <c r="C24" s="413"/>
      <c r="D24" s="413"/>
      <c r="E24" s="413"/>
      <c r="F24" s="413"/>
      <c r="G24" s="413"/>
      <c r="H24" s="413"/>
      <c r="I24" s="413"/>
      <c r="J24" s="413"/>
      <c r="K24" s="413"/>
      <c r="L24" s="413"/>
      <c r="M24" s="413"/>
    </row>
    <row r="25" spans="1:13" ht="12.75">
      <c r="A25" s="413"/>
      <c r="B25" s="413"/>
      <c r="C25" s="413"/>
      <c r="D25" s="413"/>
      <c r="E25" s="413"/>
      <c r="F25" s="413"/>
      <c r="G25" s="413"/>
      <c r="H25" s="413"/>
      <c r="I25" s="413"/>
      <c r="J25" s="413"/>
      <c r="K25" s="413"/>
      <c r="L25" s="413"/>
      <c r="M25" s="413"/>
    </row>
    <row r="26" spans="1:13" ht="12.75">
      <c r="A26" s="253"/>
      <c r="B26" s="60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</row>
    <row r="27" spans="1:19" ht="13.5">
      <c r="A27" s="566" t="s">
        <v>416</v>
      </c>
      <c r="B27" s="567"/>
      <c r="C27" s="54">
        <f>+VN!C8</f>
        <v>2016</v>
      </c>
      <c r="D27" s="54">
        <f>+VN!D8</f>
        <v>2017</v>
      </c>
      <c r="E27" s="54">
        <f>+VN!E8</f>
        <v>2018</v>
      </c>
      <c r="F27" s="54">
        <f>+VN!F8</f>
        <v>2019</v>
      </c>
      <c r="G27" s="54">
        <f>+VN!G8</f>
        <v>2020</v>
      </c>
      <c r="H27" s="54">
        <f>+VN!H8</f>
        <v>2021</v>
      </c>
      <c r="I27" s="54">
        <f>+VN!I8</f>
        <v>2022</v>
      </c>
      <c r="J27" s="54">
        <f>+VN!J8</f>
        <v>2023</v>
      </c>
      <c r="K27" s="54">
        <f>+VN!K8</f>
        <v>2024</v>
      </c>
      <c r="L27" s="54">
        <f>+VN!L8</f>
        <v>2025</v>
      </c>
      <c r="M27" s="54">
        <f>+VN!M8</f>
        <v>2026</v>
      </c>
      <c r="O27" s="391"/>
      <c r="P27" s="391" t="s">
        <v>2</v>
      </c>
      <c r="Q27" s="391" t="s">
        <v>3</v>
      </c>
      <c r="R27" s="391"/>
      <c r="S27" s="75"/>
    </row>
    <row r="28" spans="1:19" ht="12.75">
      <c r="A28" s="146"/>
      <c r="B28" s="146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568" t="s">
        <v>459</v>
      </c>
      <c r="O28" s="391" t="s">
        <v>22</v>
      </c>
      <c r="P28" s="392">
        <f>+C34</f>
        <v>0</v>
      </c>
      <c r="Q28" s="392">
        <f>+P28</f>
        <v>0</v>
      </c>
      <c r="R28" s="393" t="b">
        <f aca="true" t="shared" si="7" ref="R28:R33">IF(Q28&gt;0,Q28/P28*12)</f>
        <v>0</v>
      </c>
      <c r="S28" s="75"/>
    </row>
    <row r="29" spans="1:19" ht="12.75">
      <c r="A29" s="68" t="s">
        <v>130</v>
      </c>
      <c r="B29" s="78"/>
      <c r="C29" s="252">
        <f>+'Cash Flow'!C21</f>
        <v>0</v>
      </c>
      <c r="D29" s="252">
        <f>+'Cash Flow'!D21</f>
        <v>0</v>
      </c>
      <c r="E29" s="252">
        <f>+'Cash Flow'!E21</f>
        <v>0</v>
      </c>
      <c r="F29" s="252">
        <f>+'Cash Flow'!F21</f>
        <v>0</v>
      </c>
      <c r="G29" s="252">
        <f>+'Cash Flow'!G21</f>
        <v>0</v>
      </c>
      <c r="H29" s="252">
        <f>+'Cash Flow'!H21</f>
        <v>0</v>
      </c>
      <c r="I29" s="252">
        <f>+'Cash Flow'!I21</f>
        <v>0</v>
      </c>
      <c r="J29" s="252">
        <f>+'Cash Flow'!J21</f>
        <v>0</v>
      </c>
      <c r="K29" s="252">
        <f>+'Cash Flow'!K21</f>
        <v>0</v>
      </c>
      <c r="L29" s="252">
        <f>+'Cash Flow'!L21</f>
        <v>0</v>
      </c>
      <c r="M29" s="419" t="e">
        <f>+R39</f>
        <v>#DIV/0!</v>
      </c>
      <c r="N29" s="568"/>
      <c r="O29" s="391" t="s">
        <v>23</v>
      </c>
      <c r="P29" s="392" t="e">
        <f>+D34</f>
        <v>#DIV/0!</v>
      </c>
      <c r="Q29" s="392" t="e">
        <f>+Q28+P29</f>
        <v>#DIV/0!</v>
      </c>
      <c r="R29" s="394" t="e">
        <f t="shared" si="7"/>
        <v>#DIV/0!</v>
      </c>
      <c r="S29" s="75"/>
    </row>
    <row r="30" spans="1:19" ht="12.75">
      <c r="A30" s="253"/>
      <c r="B30" s="60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568"/>
      <c r="O30" s="391" t="s">
        <v>24</v>
      </c>
      <c r="P30" s="392" t="e">
        <f>+E34</f>
        <v>#DIV/0!</v>
      </c>
      <c r="Q30" s="392" t="e">
        <f>+Q29+P30</f>
        <v>#DIV/0!</v>
      </c>
      <c r="R30" s="394" t="e">
        <f t="shared" si="7"/>
        <v>#DIV/0!</v>
      </c>
      <c r="S30" s="75"/>
    </row>
    <row r="31" spans="1:19" ht="12.75">
      <c r="A31" s="135" t="s">
        <v>131</v>
      </c>
      <c r="B31" s="255"/>
      <c r="C31" s="256" t="e">
        <f>+C80</f>
        <v>#DIV/0!</v>
      </c>
      <c r="D31" s="256" t="e">
        <f>+D80</f>
        <v>#DIV/0!</v>
      </c>
      <c r="E31" s="256" t="e">
        <f>+E80</f>
        <v>#DIV/0!</v>
      </c>
      <c r="F31" s="256" t="e">
        <f aca="true" t="shared" si="8" ref="F31:L31">+F80</f>
        <v>#DIV/0!</v>
      </c>
      <c r="G31" s="256" t="e">
        <f t="shared" si="8"/>
        <v>#DIV/0!</v>
      </c>
      <c r="H31" s="256" t="e">
        <f t="shared" si="8"/>
        <v>#DIV/0!</v>
      </c>
      <c r="I31" s="256" t="e">
        <f t="shared" si="8"/>
        <v>#DIV/0!</v>
      </c>
      <c r="J31" s="256" t="e">
        <f t="shared" si="8"/>
        <v>#DIV/0!</v>
      </c>
      <c r="K31" s="256" t="e">
        <f t="shared" si="8"/>
        <v>#DIV/0!</v>
      </c>
      <c r="L31" s="256" t="e">
        <f t="shared" si="8"/>
        <v>#DIV/0!</v>
      </c>
      <c r="M31" s="256" t="e">
        <f>+L31</f>
        <v>#DIV/0!</v>
      </c>
      <c r="O31" s="391" t="s">
        <v>25</v>
      </c>
      <c r="P31" s="392" t="e">
        <f>+J34</f>
        <v>#DIV/0!</v>
      </c>
      <c r="Q31" s="392" t="e">
        <f>+Q30+P31</f>
        <v>#DIV/0!</v>
      </c>
      <c r="R31" s="395" t="e">
        <f t="shared" si="7"/>
        <v>#DIV/0!</v>
      </c>
      <c r="S31" s="75"/>
    </row>
    <row r="32" spans="1:19" ht="12.75">
      <c r="A32" s="196" t="s">
        <v>133</v>
      </c>
      <c r="B32" s="257"/>
      <c r="C32" s="258">
        <v>1</v>
      </c>
      <c r="D32" s="259" t="e">
        <f>+C32*(1+D31)</f>
        <v>#DIV/0!</v>
      </c>
      <c r="E32" s="259" t="e">
        <f>+D32*(1+E31)</f>
        <v>#DIV/0!</v>
      </c>
      <c r="F32" s="259" t="e">
        <f aca="true" t="shared" si="9" ref="F32:L32">+E32*(1+F31)</f>
        <v>#DIV/0!</v>
      </c>
      <c r="G32" s="259" t="e">
        <f t="shared" si="9"/>
        <v>#DIV/0!</v>
      </c>
      <c r="H32" s="259" t="e">
        <f t="shared" si="9"/>
        <v>#DIV/0!</v>
      </c>
      <c r="I32" s="259" t="e">
        <f t="shared" si="9"/>
        <v>#DIV/0!</v>
      </c>
      <c r="J32" s="259" t="e">
        <f t="shared" si="9"/>
        <v>#DIV/0!</v>
      </c>
      <c r="K32" s="259" t="e">
        <f t="shared" si="9"/>
        <v>#DIV/0!</v>
      </c>
      <c r="L32" s="259" t="e">
        <f t="shared" si="9"/>
        <v>#DIV/0!</v>
      </c>
      <c r="M32" s="406" t="s">
        <v>426</v>
      </c>
      <c r="O32" s="391" t="s">
        <v>26</v>
      </c>
      <c r="P32" s="392" t="e">
        <f>+K34</f>
        <v>#DIV/0!</v>
      </c>
      <c r="Q32" s="392" t="e">
        <f>+Q31+P32</f>
        <v>#DIV/0!</v>
      </c>
      <c r="R32" s="395" t="e">
        <f t="shared" si="7"/>
        <v>#DIV/0!</v>
      </c>
      <c r="S32" s="75"/>
    </row>
    <row r="33" spans="1:19" ht="12.75">
      <c r="A33" s="57"/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O33" s="391" t="s">
        <v>27</v>
      </c>
      <c r="P33" s="392" t="e">
        <f>+L34</f>
        <v>#DIV/0!</v>
      </c>
      <c r="Q33" s="392" t="e">
        <f>+Q32+P33</f>
        <v>#DIV/0!</v>
      </c>
      <c r="R33" s="395" t="e">
        <f t="shared" si="7"/>
        <v>#DIV/0!</v>
      </c>
      <c r="S33" s="75"/>
    </row>
    <row r="34" spans="1:19" ht="12.75">
      <c r="A34" s="68" t="s">
        <v>132</v>
      </c>
      <c r="B34" s="78"/>
      <c r="C34" s="252">
        <f>+C29/C32</f>
        <v>0</v>
      </c>
      <c r="D34" s="252" t="e">
        <f>+D29/D32</f>
        <v>#DIV/0!</v>
      </c>
      <c r="E34" s="252" t="e">
        <f>+E29/E32</f>
        <v>#DIV/0!</v>
      </c>
      <c r="F34" s="252" t="e">
        <f aca="true" t="shared" si="10" ref="F34:L34">+F29/F32</f>
        <v>#DIV/0!</v>
      </c>
      <c r="G34" s="252" t="e">
        <f t="shared" si="10"/>
        <v>#DIV/0!</v>
      </c>
      <c r="H34" s="252" t="e">
        <f t="shared" si="10"/>
        <v>#DIV/0!</v>
      </c>
      <c r="I34" s="252" t="e">
        <f t="shared" si="10"/>
        <v>#DIV/0!</v>
      </c>
      <c r="J34" s="252" t="e">
        <f t="shared" si="10"/>
        <v>#DIV/0!</v>
      </c>
      <c r="K34" s="252" t="e">
        <f t="shared" si="10"/>
        <v>#DIV/0!</v>
      </c>
      <c r="L34" s="252" t="e">
        <f t="shared" si="10"/>
        <v>#DIV/0!</v>
      </c>
      <c r="M34" s="252" t="e">
        <f>+M29/L32</f>
        <v>#DIV/0!</v>
      </c>
      <c r="O34" s="75"/>
      <c r="P34" s="75"/>
      <c r="Q34" s="75"/>
      <c r="R34" s="75"/>
      <c r="S34" s="75"/>
    </row>
    <row r="35" spans="1:19" ht="12.75">
      <c r="A35" s="57"/>
      <c r="B35" s="146"/>
      <c r="C35" s="261"/>
      <c r="D35" s="57"/>
      <c r="E35" s="57"/>
      <c r="F35" s="57"/>
      <c r="G35" s="57"/>
      <c r="H35" s="57"/>
      <c r="I35" s="57"/>
      <c r="J35" s="57"/>
      <c r="K35" s="57"/>
      <c r="L35" s="57"/>
      <c r="M35" s="251"/>
      <c r="O35" s="75"/>
      <c r="P35" s="75"/>
      <c r="Q35" s="75"/>
      <c r="R35" s="75"/>
      <c r="S35" s="75"/>
    </row>
    <row r="36" spans="1:19" ht="12.75">
      <c r="A36" s="68" t="s">
        <v>420</v>
      </c>
      <c r="B36" s="78"/>
      <c r="C36" s="252">
        <f>+C34</f>
        <v>0</v>
      </c>
      <c r="D36" s="252" t="e">
        <f>+SUM($C$34:D34)</f>
        <v>#DIV/0!</v>
      </c>
      <c r="E36" s="252" t="e">
        <f>+SUM($C$34:E34)</f>
        <v>#DIV/0!</v>
      </c>
      <c r="F36" s="252" t="e">
        <f>+SUM($C$34:F34)</f>
        <v>#DIV/0!</v>
      </c>
      <c r="G36" s="252" t="e">
        <f>+SUM($C$34:G34)</f>
        <v>#DIV/0!</v>
      </c>
      <c r="H36" s="252" t="e">
        <f>+SUM($C$34:H34)</f>
        <v>#DIV/0!</v>
      </c>
      <c r="I36" s="252" t="e">
        <f>+SUM($C$34:I34)</f>
        <v>#DIV/0!</v>
      </c>
      <c r="J36" s="252" t="e">
        <f>+SUM($C$34:J34)</f>
        <v>#DIV/0!</v>
      </c>
      <c r="K36" s="252" t="e">
        <f>+SUM($C$34:K34)</f>
        <v>#DIV/0!</v>
      </c>
      <c r="L36" s="252" t="e">
        <f>+SUM($C$34:L34)</f>
        <v>#DIV/0!</v>
      </c>
      <c r="M36" s="252" t="e">
        <f>+SUM($C$34:M34)</f>
        <v>#DIV/0!</v>
      </c>
      <c r="O36" s="422" t="s">
        <v>411</v>
      </c>
      <c r="P36" s="422"/>
      <c r="Q36" s="75"/>
      <c r="R36" s="75"/>
      <c r="S36" s="75"/>
    </row>
    <row r="37" spans="1:19" ht="13.5">
      <c r="A37" s="57"/>
      <c r="B37" s="146"/>
      <c r="C37" s="261"/>
      <c r="D37" s="57"/>
      <c r="E37" s="57"/>
      <c r="F37" s="57"/>
      <c r="G37" s="57"/>
      <c r="H37" s="57"/>
      <c r="I37" s="57"/>
      <c r="J37" s="57"/>
      <c r="K37" s="251"/>
      <c r="L37" s="251"/>
      <c r="M37" s="251"/>
      <c r="O37" s="396" t="s">
        <v>413</v>
      </c>
      <c r="P37" s="396"/>
      <c r="Q37" s="396"/>
      <c r="R37" s="423" t="e">
        <f>($L$29*(1+Pressupostos!$B$38))/(Avaliação!$M$31-Pressupostos!$B$38)</f>
        <v>#DIV/0!</v>
      </c>
      <c r="S37" s="75"/>
    </row>
    <row r="38" spans="1:19" s="292" customFormat="1" ht="12.75">
      <c r="A38" s="285" t="s">
        <v>210</v>
      </c>
      <c r="B38" s="286"/>
      <c r="C38" s="287" t="e">
        <f>+M36</f>
        <v>#DIV/0!</v>
      </c>
      <c r="D38" s="288"/>
      <c r="E38" s="289"/>
      <c r="F38" s="289"/>
      <c r="G38" s="289"/>
      <c r="H38" s="289"/>
      <c r="I38" s="289"/>
      <c r="J38" s="290"/>
      <c r="K38" s="291"/>
      <c r="L38" s="288"/>
      <c r="M38" s="288"/>
      <c r="O38" s="397" t="s">
        <v>412</v>
      </c>
      <c r="P38" s="293"/>
      <c r="Q38" s="293"/>
      <c r="R38" s="414"/>
      <c r="S38" s="293"/>
    </row>
    <row r="39" spans="1:19" ht="12.75" customHeight="1">
      <c r="A39" s="57"/>
      <c r="B39" s="265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O39" s="561" t="s">
        <v>425</v>
      </c>
      <c r="P39" s="561"/>
      <c r="Q39" s="561"/>
      <c r="R39" s="562" t="e">
        <f>(+Balanço!$M$9+FundoManeio!$M$22)/(L32*(1+M31))</f>
        <v>#DIV/0!</v>
      </c>
      <c r="S39" s="75"/>
    </row>
    <row r="40" spans="1:18" ht="12.75">
      <c r="A40" s="68" t="s">
        <v>0</v>
      </c>
      <c r="B40" s="78"/>
      <c r="C40" s="266" t="e">
        <f>IRR(C29:M29,0.1)</f>
        <v>#VALUE!</v>
      </c>
      <c r="D40" s="267"/>
      <c r="E40" s="267"/>
      <c r="F40" s="267"/>
      <c r="G40" s="267"/>
      <c r="H40" s="267"/>
      <c r="I40" s="267"/>
      <c r="J40" s="267"/>
      <c r="K40" s="267"/>
      <c r="L40" s="251"/>
      <c r="M40" s="251"/>
      <c r="O40" s="561"/>
      <c r="P40" s="561"/>
      <c r="Q40" s="561"/>
      <c r="R40" s="563"/>
    </row>
    <row r="41" spans="1:13" ht="12.7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</row>
    <row r="42" spans="1:13" ht="12.75">
      <c r="A42" s="68" t="s">
        <v>1</v>
      </c>
      <c r="B42" s="78"/>
      <c r="C42" s="252">
        <f>COUNTIF(R28:R33,"falso")</f>
        <v>0</v>
      </c>
      <c r="D42" s="268" t="s">
        <v>7</v>
      </c>
      <c r="E42" s="284"/>
      <c r="F42" s="284"/>
      <c r="G42" s="284"/>
      <c r="H42" s="284"/>
      <c r="I42" s="284"/>
      <c r="J42" s="57"/>
      <c r="K42" s="57"/>
      <c r="L42" s="57"/>
      <c r="M42" s="57"/>
    </row>
    <row r="43" spans="1:13" ht="12.7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</row>
    <row r="44" spans="1:13" ht="12.75">
      <c r="A44" s="413"/>
      <c r="B44" s="413"/>
      <c r="C44" s="413"/>
      <c r="D44" s="413"/>
      <c r="E44" s="413"/>
      <c r="F44" s="413"/>
      <c r="G44" s="413"/>
      <c r="H44" s="413"/>
      <c r="I44" s="413"/>
      <c r="J44" s="413"/>
      <c r="K44" s="413"/>
      <c r="L44" s="413"/>
      <c r="M44" s="413"/>
    </row>
    <row r="45" spans="1:13" ht="12.75">
      <c r="A45" s="413"/>
      <c r="B45" s="413"/>
      <c r="C45" s="413"/>
      <c r="D45" s="413"/>
      <c r="E45" s="413"/>
      <c r="F45" s="413"/>
      <c r="G45" s="413"/>
      <c r="H45" s="413"/>
      <c r="I45" s="413"/>
      <c r="J45" s="413"/>
      <c r="K45" s="413"/>
      <c r="L45" s="413"/>
      <c r="M45" s="413"/>
    </row>
    <row r="46" spans="1:13" ht="12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</row>
    <row r="47" spans="1:13" ht="13.5">
      <c r="A47" s="559" t="s">
        <v>6</v>
      </c>
      <c r="B47" s="560"/>
      <c r="C47" s="54">
        <f>+VN!C8</f>
        <v>2016</v>
      </c>
      <c r="D47" s="54">
        <f>+VN!D8</f>
        <v>2017</v>
      </c>
      <c r="E47" s="54">
        <f>+VN!E8</f>
        <v>2018</v>
      </c>
      <c r="F47" s="54">
        <f>+VN!F8</f>
        <v>2019</v>
      </c>
      <c r="G47" s="54">
        <f>+VN!G8</f>
        <v>2020</v>
      </c>
      <c r="H47" s="54">
        <f>+VN!H8</f>
        <v>2021</v>
      </c>
      <c r="I47" s="54">
        <f>+VN!I8</f>
        <v>2022</v>
      </c>
      <c r="J47" s="54">
        <f>+VN!J8</f>
        <v>2023</v>
      </c>
      <c r="K47" s="54">
        <f>+VN!K8</f>
        <v>2024</v>
      </c>
      <c r="L47" s="54">
        <f>+VN!L8</f>
        <v>2025</v>
      </c>
      <c r="M47" s="54">
        <f>+VN!M8</f>
        <v>2026</v>
      </c>
    </row>
    <row r="48" spans="1:15" ht="12.75">
      <c r="A48" s="57"/>
      <c r="B48" s="146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569" t="s">
        <v>459</v>
      </c>
      <c r="O48" s="75"/>
    </row>
    <row r="49" spans="1:18" ht="12.75">
      <c r="A49" s="68" t="s">
        <v>129</v>
      </c>
      <c r="B49" s="78"/>
      <c r="C49" s="252">
        <f>+'Cash Flow'!C21+PlanoFinanceiro!C12-PlanoFinanceiro!C23-'DR'!B28</f>
        <v>0</v>
      </c>
      <c r="D49" s="252">
        <f>+'Cash Flow'!D21+PlanoFinanceiro!D12-PlanoFinanceiro!D23-'DR'!C28</f>
        <v>0</v>
      </c>
      <c r="E49" s="252">
        <f>+'Cash Flow'!E21+PlanoFinanceiro!J12-PlanoFinanceiro!J23-'DR'!D28</f>
        <v>0</v>
      </c>
      <c r="F49" s="252">
        <f>+'Cash Flow'!F21+PlanoFinanceiro!K12-PlanoFinanceiro!K23-'DR'!E28</f>
        <v>0</v>
      </c>
      <c r="G49" s="252">
        <f>+'Cash Flow'!G21+PlanoFinanceiro!L12-PlanoFinanceiro!L23-'DR'!F28</f>
        <v>0</v>
      </c>
      <c r="H49" s="252">
        <f>+'Cash Flow'!H21+PlanoFinanceiro!M12-PlanoFinanceiro!M23-'DR'!G28</f>
        <v>0</v>
      </c>
      <c r="I49" s="252">
        <f>+'Cash Flow'!I21+PlanoFinanceiro!N12-PlanoFinanceiro!N23-'DR'!H28</f>
        <v>0</v>
      </c>
      <c r="J49" s="252">
        <f>+'Cash Flow'!J21+PlanoFinanceiro!O12-PlanoFinanceiro!O23-'DR'!I28</f>
        <v>0</v>
      </c>
      <c r="K49" s="252">
        <f>+'Cash Flow'!K21+PlanoFinanceiro!P12-PlanoFinanceiro!P23-'DR'!J28</f>
        <v>0</v>
      </c>
      <c r="L49" s="252">
        <f>+'Cash Flow'!L21+PlanoFinanceiro!Q12-PlanoFinanceiro!Q23-'DR'!K28</f>
        <v>0</v>
      </c>
      <c r="M49" s="419">
        <f>+R63</f>
        <v>0</v>
      </c>
      <c r="N49" s="569"/>
      <c r="O49" s="75"/>
      <c r="P49" s="75"/>
      <c r="Q49" s="75"/>
      <c r="R49" s="75"/>
    </row>
    <row r="50" spans="1:18" ht="12.75">
      <c r="A50" s="57"/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568"/>
      <c r="O50" s="391"/>
      <c r="P50" s="391" t="s">
        <v>2</v>
      </c>
      <c r="Q50" s="391" t="s">
        <v>3</v>
      </c>
      <c r="R50" s="391"/>
    </row>
    <row r="51" spans="1:18" ht="12.75">
      <c r="A51" s="135" t="s">
        <v>109</v>
      </c>
      <c r="B51" s="255"/>
      <c r="C51" s="420">
        <f>+Pressupostos!B35</f>
        <v>0.0025</v>
      </c>
      <c r="D51" s="421">
        <f>+C51*(1+VN!D9)</f>
        <v>0.0025</v>
      </c>
      <c r="E51" s="421">
        <f>+D51*(1+VN!J9)</f>
        <v>0.0025</v>
      </c>
      <c r="F51" s="421">
        <f>+E51*(1+VN!K9)</f>
        <v>0.0025</v>
      </c>
      <c r="G51" s="421">
        <f>+F51*(1+VN!L9)</f>
        <v>0.0025</v>
      </c>
      <c r="H51" s="421">
        <f>+G51*(1+VN!M9)</f>
        <v>0.0025</v>
      </c>
      <c r="I51" s="421">
        <f>+H51*(1+VN!N9)</f>
        <v>0.0025</v>
      </c>
      <c r="J51" s="421">
        <f>+I51*(1+VN!O9)</f>
        <v>0.0025</v>
      </c>
      <c r="K51" s="421">
        <f>+J51*(1+VN!P9)</f>
        <v>0.0025</v>
      </c>
      <c r="L51" s="421">
        <f>+K51*(1+VN!Q9)</f>
        <v>0.0025</v>
      </c>
      <c r="M51" s="421">
        <f>+L51*(1+VN!M9)</f>
        <v>0.0025</v>
      </c>
      <c r="O51" s="391" t="s">
        <v>22</v>
      </c>
      <c r="P51" s="392">
        <f>+C56</f>
        <v>0</v>
      </c>
      <c r="Q51" s="392">
        <f>+P51</f>
        <v>0</v>
      </c>
      <c r="R51" s="393" t="b">
        <f aca="true" t="shared" si="11" ref="R51:R57">IF(Q51&gt;0,Q51/P51*12)</f>
        <v>0</v>
      </c>
    </row>
    <row r="52" spans="1:18" ht="12.75">
      <c r="A52" s="135" t="s">
        <v>110</v>
      </c>
      <c r="B52" s="255"/>
      <c r="C52" s="256">
        <f>+Pressupostos!B36</f>
        <v>0.05</v>
      </c>
      <c r="D52" s="256">
        <f aca="true" t="shared" si="12" ref="D52:M52">+C52</f>
        <v>0.05</v>
      </c>
      <c r="E52" s="256">
        <f t="shared" si="12"/>
        <v>0.05</v>
      </c>
      <c r="F52" s="256">
        <f t="shared" si="12"/>
        <v>0.05</v>
      </c>
      <c r="G52" s="256">
        <f t="shared" si="12"/>
        <v>0.05</v>
      </c>
      <c r="H52" s="256">
        <f t="shared" si="12"/>
        <v>0.05</v>
      </c>
      <c r="I52" s="256">
        <f t="shared" si="12"/>
        <v>0.05</v>
      </c>
      <c r="J52" s="256">
        <f t="shared" si="12"/>
        <v>0.05</v>
      </c>
      <c r="K52" s="256">
        <f t="shared" si="12"/>
        <v>0.05</v>
      </c>
      <c r="L52" s="256">
        <f t="shared" si="12"/>
        <v>0.05</v>
      </c>
      <c r="M52" s="256">
        <f t="shared" si="12"/>
        <v>0.05</v>
      </c>
      <c r="O52" s="391" t="s">
        <v>23</v>
      </c>
      <c r="P52" s="392">
        <f>+D56</f>
        <v>0</v>
      </c>
      <c r="Q52" s="392">
        <f aca="true" t="shared" si="13" ref="Q52:Q57">+Q51+P52</f>
        <v>0</v>
      </c>
      <c r="R52" s="398" t="b">
        <f t="shared" si="11"/>
        <v>0</v>
      </c>
    </row>
    <row r="53" spans="1:18" ht="12.75">
      <c r="A53" s="135" t="s">
        <v>415</v>
      </c>
      <c r="B53" s="255"/>
      <c r="C53" s="256">
        <f>+C51+Pressupostos!$B$37*(Avaliação!C52)</f>
        <v>0.052500000000000005</v>
      </c>
      <c r="D53" s="256">
        <f>+D51+Pressupostos!$B$37*(Avaliação!D52)</f>
        <v>0.052500000000000005</v>
      </c>
      <c r="E53" s="256">
        <f>+E51+Pressupostos!$B$37*(Avaliação!E52)</f>
        <v>0.052500000000000005</v>
      </c>
      <c r="F53" s="256">
        <f>+F51+Pressupostos!$B$37*(Avaliação!F52)</f>
        <v>0.052500000000000005</v>
      </c>
      <c r="G53" s="256">
        <f>+G51+Pressupostos!$B$37*(Avaliação!G52)</f>
        <v>0.052500000000000005</v>
      </c>
      <c r="H53" s="256">
        <f>+H51+Pressupostos!$B$37*(Avaliação!H52)</f>
        <v>0.052500000000000005</v>
      </c>
      <c r="I53" s="256">
        <f>+I51+Pressupostos!$B$37*(Avaliação!I52)</f>
        <v>0.052500000000000005</v>
      </c>
      <c r="J53" s="256">
        <f>+J51+Pressupostos!$B$37*(Avaliação!J52)</f>
        <v>0.052500000000000005</v>
      </c>
      <c r="K53" s="256">
        <f>+K51+Pressupostos!$B$37*(Avaliação!K52)</f>
        <v>0.052500000000000005</v>
      </c>
      <c r="L53" s="256">
        <f>+L51+Pressupostos!$B$37*(Avaliação!L52)</f>
        <v>0.052500000000000005</v>
      </c>
      <c r="M53" s="256">
        <f>+M51+Pressupostos!$B$37*(Avaliação!M52)</f>
        <v>0.052500000000000005</v>
      </c>
      <c r="O53" s="391" t="s">
        <v>24</v>
      </c>
      <c r="P53" s="392">
        <f>+E56</f>
        <v>0</v>
      </c>
      <c r="Q53" s="392">
        <f t="shared" si="13"/>
        <v>0</v>
      </c>
      <c r="R53" s="398" t="b">
        <f t="shared" si="11"/>
        <v>0</v>
      </c>
    </row>
    <row r="54" spans="1:18" ht="12.75">
      <c r="A54" s="135" t="s">
        <v>127</v>
      </c>
      <c r="B54" s="255"/>
      <c r="C54" s="258">
        <v>1</v>
      </c>
      <c r="D54" s="259">
        <f aca="true" t="shared" si="14" ref="D54:L54">+C54*(1+D53)</f>
        <v>1.0525</v>
      </c>
      <c r="E54" s="259">
        <f t="shared" si="14"/>
        <v>1.10775625</v>
      </c>
      <c r="F54" s="259">
        <f t="shared" si="14"/>
        <v>1.165913453125</v>
      </c>
      <c r="G54" s="259">
        <f t="shared" si="14"/>
        <v>1.2271239094140625</v>
      </c>
      <c r="H54" s="259">
        <f t="shared" si="14"/>
        <v>1.2915479146583007</v>
      </c>
      <c r="I54" s="259">
        <f t="shared" si="14"/>
        <v>1.3593541801778615</v>
      </c>
      <c r="J54" s="259">
        <f t="shared" si="14"/>
        <v>1.4307202746371992</v>
      </c>
      <c r="K54" s="259">
        <f t="shared" si="14"/>
        <v>1.5058330890556522</v>
      </c>
      <c r="L54" s="259">
        <f t="shared" si="14"/>
        <v>1.584889326231074</v>
      </c>
      <c r="M54" s="405" t="s">
        <v>426</v>
      </c>
      <c r="O54" s="391" t="s">
        <v>25</v>
      </c>
      <c r="P54" s="392">
        <f>+J56</f>
        <v>0</v>
      </c>
      <c r="Q54" s="392">
        <f t="shared" si="13"/>
        <v>0</v>
      </c>
      <c r="R54" s="395" t="b">
        <f t="shared" si="11"/>
        <v>0</v>
      </c>
    </row>
    <row r="55" spans="1:18" ht="12.75">
      <c r="A55" s="57"/>
      <c r="B55" s="260"/>
      <c r="C55" s="270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O55" s="391" t="s">
        <v>26</v>
      </c>
      <c r="P55" s="392">
        <f>+K56</f>
        <v>0</v>
      </c>
      <c r="Q55" s="392">
        <f t="shared" si="13"/>
        <v>0</v>
      </c>
      <c r="R55" s="395" t="b">
        <f>IF(Q55&gt;0,Q55/P55*12)</f>
        <v>0</v>
      </c>
    </row>
    <row r="56" spans="1:18" ht="12.75">
      <c r="A56" s="68" t="s">
        <v>128</v>
      </c>
      <c r="B56" s="78"/>
      <c r="C56" s="252">
        <f>+C49/C54</f>
        <v>0</v>
      </c>
      <c r="D56" s="252">
        <f>+D49/D54</f>
        <v>0</v>
      </c>
      <c r="E56" s="252">
        <f>+E49/E54</f>
        <v>0</v>
      </c>
      <c r="F56" s="252">
        <f aca="true" t="shared" si="15" ref="F56:L56">+F49/F54</f>
        <v>0</v>
      </c>
      <c r="G56" s="252">
        <f t="shared" si="15"/>
        <v>0</v>
      </c>
      <c r="H56" s="252">
        <f t="shared" si="15"/>
        <v>0</v>
      </c>
      <c r="I56" s="252">
        <f t="shared" si="15"/>
        <v>0</v>
      </c>
      <c r="J56" s="252">
        <f t="shared" si="15"/>
        <v>0</v>
      </c>
      <c r="K56" s="252">
        <f t="shared" si="15"/>
        <v>0</v>
      </c>
      <c r="L56" s="252">
        <f t="shared" si="15"/>
        <v>0</v>
      </c>
      <c r="M56" s="252">
        <f>+M49/L54</f>
        <v>0</v>
      </c>
      <c r="O56" s="391" t="s">
        <v>27</v>
      </c>
      <c r="P56" s="392">
        <f>+L56</f>
        <v>0</v>
      </c>
      <c r="Q56" s="392">
        <f t="shared" si="13"/>
        <v>0</v>
      </c>
      <c r="R56" s="395" t="b">
        <f>IF(Q56&gt;0,Q56/P56*12)</f>
        <v>0</v>
      </c>
    </row>
    <row r="57" spans="1:18" ht="12.75">
      <c r="A57" s="253"/>
      <c r="B57" s="60"/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O57" s="391" t="s">
        <v>141</v>
      </c>
      <c r="P57" s="392">
        <f>+M56</f>
        <v>0</v>
      </c>
      <c r="Q57" s="392">
        <f t="shared" si="13"/>
        <v>0</v>
      </c>
      <c r="R57" s="395" t="b">
        <f t="shared" si="11"/>
        <v>0</v>
      </c>
    </row>
    <row r="58" spans="1:18" ht="12.75">
      <c r="A58" s="68" t="s">
        <v>420</v>
      </c>
      <c r="B58" s="78"/>
      <c r="C58" s="252">
        <f>+C56</f>
        <v>0</v>
      </c>
      <c r="D58" s="252">
        <f>+SUM($C$56:D56)</f>
        <v>0</v>
      </c>
      <c r="E58" s="252">
        <f>+SUM($C$56:E56)</f>
        <v>0</v>
      </c>
      <c r="F58" s="252">
        <f>+SUM($C$56:F56)</f>
        <v>0</v>
      </c>
      <c r="G58" s="252">
        <f>+SUM($C$56:G56)</f>
        <v>0</v>
      </c>
      <c r="H58" s="252">
        <f>+SUM($C$56:H56)</f>
        <v>0</v>
      </c>
      <c r="I58" s="252">
        <f>+SUM($C$56:I56)</f>
        <v>0</v>
      </c>
      <c r="J58" s="252">
        <f>+SUM($C$56:J56)</f>
        <v>0</v>
      </c>
      <c r="K58" s="252">
        <f>+SUM($C$56:K56)</f>
        <v>0</v>
      </c>
      <c r="L58" s="252">
        <f>+SUM($C$56:L56)</f>
        <v>0</v>
      </c>
      <c r="M58" s="252">
        <f>+SUM($C$56:M56)</f>
        <v>0</v>
      </c>
      <c r="O58" s="75"/>
      <c r="P58" s="75"/>
      <c r="Q58" s="75"/>
      <c r="R58" s="75"/>
    </row>
    <row r="59" spans="1:18" ht="12.75">
      <c r="A59" s="57"/>
      <c r="B59" s="146"/>
      <c r="C59" s="261"/>
      <c r="D59" s="57"/>
      <c r="E59" s="57"/>
      <c r="F59" s="57"/>
      <c r="G59" s="57"/>
      <c r="H59" s="57"/>
      <c r="I59" s="57"/>
      <c r="J59" s="57"/>
      <c r="K59" s="251"/>
      <c r="L59" s="251"/>
      <c r="M59" s="251"/>
      <c r="O59" s="75"/>
      <c r="P59" s="75"/>
      <c r="Q59" s="75"/>
      <c r="R59" s="75"/>
    </row>
    <row r="60" spans="1:18" ht="12.75">
      <c r="A60" s="68" t="s">
        <v>210</v>
      </c>
      <c r="B60" s="78"/>
      <c r="C60" s="252">
        <f>M58</f>
        <v>0</v>
      </c>
      <c r="D60" s="262"/>
      <c r="E60" s="251"/>
      <c r="F60" s="251"/>
      <c r="G60" s="251"/>
      <c r="H60" s="251"/>
      <c r="I60" s="251"/>
      <c r="J60" s="263"/>
      <c r="K60" s="264"/>
      <c r="L60" s="262"/>
      <c r="M60" s="262"/>
      <c r="O60" s="422" t="s">
        <v>411</v>
      </c>
      <c r="P60" s="422"/>
      <c r="Q60" s="75"/>
      <c r="R60" s="75"/>
    </row>
    <row r="61" spans="1:18" ht="13.5">
      <c r="A61" s="57"/>
      <c r="B61" s="265"/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72"/>
      <c r="O61" s="396" t="s">
        <v>413</v>
      </c>
      <c r="P61" s="396"/>
      <c r="Q61" s="396"/>
      <c r="R61" s="423">
        <f>+($L$49*(1+Pressupostos!$B$38))/($M$53-Pressupostos!$B$38)</f>
        <v>0</v>
      </c>
    </row>
    <row r="62" spans="1:18" ht="12.75">
      <c r="A62" s="68" t="s">
        <v>0</v>
      </c>
      <c r="B62" s="78"/>
      <c r="C62" s="266" t="e">
        <f>IRR(C49:M49,0.1)</f>
        <v>#NUM!</v>
      </c>
      <c r="D62" s="267"/>
      <c r="E62" s="267"/>
      <c r="F62" s="267"/>
      <c r="G62" s="267"/>
      <c r="H62" s="267"/>
      <c r="I62" s="267"/>
      <c r="J62" s="267"/>
      <c r="K62" s="267"/>
      <c r="L62" s="251"/>
      <c r="M62" s="251"/>
      <c r="N62" s="272"/>
      <c r="O62" s="397" t="s">
        <v>412</v>
      </c>
      <c r="P62" s="293"/>
      <c r="Q62" s="293"/>
      <c r="R62" s="414"/>
    </row>
    <row r="63" spans="1:18" ht="12.75">
      <c r="A63" s="57"/>
      <c r="B63" s="146"/>
      <c r="C63" s="267"/>
      <c r="D63" s="267"/>
      <c r="E63" s="267"/>
      <c r="F63" s="267"/>
      <c r="G63" s="267"/>
      <c r="H63" s="267"/>
      <c r="I63" s="267"/>
      <c r="J63" s="267"/>
      <c r="K63" s="267"/>
      <c r="L63" s="251"/>
      <c r="M63" s="251"/>
      <c r="N63" s="272"/>
      <c r="O63" s="561" t="s">
        <v>427</v>
      </c>
      <c r="P63" s="561"/>
      <c r="Q63" s="561"/>
      <c r="R63" s="562">
        <f>+Balanço!M33/(L54*(1+M53))</f>
        <v>0</v>
      </c>
    </row>
    <row r="64" spans="1:18" ht="12.75">
      <c r="A64" s="68" t="s">
        <v>1</v>
      </c>
      <c r="B64" s="78"/>
      <c r="C64" s="403">
        <f>COUNTIF(R51:R56,"falso")</f>
        <v>0</v>
      </c>
      <c r="D64" s="268" t="s">
        <v>7</v>
      </c>
      <c r="E64" s="267"/>
      <c r="F64" s="267"/>
      <c r="G64" s="267"/>
      <c r="H64" s="267"/>
      <c r="I64" s="267"/>
      <c r="J64" s="267"/>
      <c r="K64" s="267"/>
      <c r="L64" s="251"/>
      <c r="M64" s="251"/>
      <c r="N64" s="272"/>
      <c r="O64" s="561"/>
      <c r="P64" s="561"/>
      <c r="Q64" s="561"/>
      <c r="R64" s="563"/>
    </row>
    <row r="65" spans="1:18" ht="12.7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272"/>
      <c r="O65" s="75"/>
      <c r="P65" s="75"/>
      <c r="Q65" s="75"/>
      <c r="R65" s="273"/>
    </row>
    <row r="66" spans="1:18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272"/>
      <c r="O66" s="75"/>
      <c r="P66" s="75"/>
      <c r="Q66" s="75"/>
      <c r="R66" s="273"/>
    </row>
    <row r="67" spans="1:13" ht="12.75">
      <c r="A67" s="57"/>
      <c r="B67" s="269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</row>
    <row r="68" spans="1:19" ht="12.75">
      <c r="A68" s="302" t="s">
        <v>244</v>
      </c>
      <c r="B68" s="302"/>
      <c r="C68" s="294">
        <f>+C27</f>
        <v>2016</v>
      </c>
      <c r="D68" s="299">
        <f>+C68+1</f>
        <v>2017</v>
      </c>
      <c r="E68" s="299">
        <f>+D68+1</f>
        <v>2018</v>
      </c>
      <c r="F68" s="299">
        <f>+E68+1</f>
        <v>2019</v>
      </c>
      <c r="G68" s="299">
        <f aca="true" t="shared" si="16" ref="G68:L68">+F68+1</f>
        <v>2020</v>
      </c>
      <c r="H68" s="299">
        <f t="shared" si="16"/>
        <v>2021</v>
      </c>
      <c r="I68" s="299">
        <f t="shared" si="16"/>
        <v>2022</v>
      </c>
      <c r="J68" s="299">
        <f t="shared" si="16"/>
        <v>2023</v>
      </c>
      <c r="K68" s="299">
        <f t="shared" si="16"/>
        <v>2024</v>
      </c>
      <c r="L68" s="299">
        <f t="shared" si="16"/>
        <v>2025</v>
      </c>
      <c r="M68" s="57"/>
      <c r="O68" s="75"/>
      <c r="P68" s="75"/>
      <c r="Q68" s="75"/>
      <c r="R68" s="75"/>
      <c r="S68" s="75"/>
    </row>
    <row r="69" spans="1:13" ht="12.75">
      <c r="A69" s="298" t="s">
        <v>248</v>
      </c>
      <c r="B69" s="298"/>
      <c r="C69" s="300">
        <f>Balanço!C39+Balanço!C46</f>
        <v>0</v>
      </c>
      <c r="D69" s="300">
        <f>Balanço!D39+Balanço!D46</f>
        <v>0</v>
      </c>
      <c r="E69" s="300">
        <f>Balanço!E39+Balanço!E46</f>
        <v>0</v>
      </c>
      <c r="F69" s="300">
        <f>Balanço!F39+Balanço!F46</f>
        <v>0</v>
      </c>
      <c r="G69" s="300">
        <f>Balanço!G39+Balanço!G46</f>
        <v>0</v>
      </c>
      <c r="H69" s="300">
        <f>Balanço!H39+Balanço!H46</f>
        <v>0</v>
      </c>
      <c r="I69" s="300">
        <f>Balanço!I39+Balanço!I46</f>
        <v>0</v>
      </c>
      <c r="J69" s="300">
        <f>Balanço!J39+Balanço!J46</f>
        <v>0</v>
      </c>
      <c r="K69" s="300">
        <f>Balanço!K39+Balanço!K46</f>
        <v>0</v>
      </c>
      <c r="L69" s="300">
        <f>Balanço!L39+Balanço!L46</f>
        <v>0</v>
      </c>
      <c r="M69" s="57"/>
    </row>
    <row r="70" spans="1:13" ht="12.75">
      <c r="A70" s="298" t="s">
        <v>211</v>
      </c>
      <c r="B70" s="298"/>
      <c r="C70" s="300">
        <f>+Balanço!C33</f>
        <v>0</v>
      </c>
      <c r="D70" s="300">
        <f>+Balanço!D33</f>
        <v>0</v>
      </c>
      <c r="E70" s="300">
        <f>+Balanço!E33</f>
        <v>0</v>
      </c>
      <c r="F70" s="300">
        <f>+Balanço!F33</f>
        <v>0</v>
      </c>
      <c r="G70" s="300">
        <f>+Balanço!G33</f>
        <v>0</v>
      </c>
      <c r="H70" s="300">
        <f>+Balanço!H33</f>
        <v>0</v>
      </c>
      <c r="I70" s="300">
        <f>+Balanço!I33</f>
        <v>0</v>
      </c>
      <c r="J70" s="300">
        <f>+Balanço!J33</f>
        <v>0</v>
      </c>
      <c r="K70" s="300">
        <f>+Balanço!K33</f>
        <v>0</v>
      </c>
      <c r="L70" s="300">
        <f>+Balanço!L33</f>
        <v>0</v>
      </c>
      <c r="M70" s="57"/>
    </row>
    <row r="71" spans="1:13" ht="12.75">
      <c r="A71" s="297" t="s">
        <v>46</v>
      </c>
      <c r="B71" s="297"/>
      <c r="C71" s="300">
        <f>+C69+C70</f>
        <v>0</v>
      </c>
      <c r="D71" s="300">
        <f>+D69+D70</f>
        <v>0</v>
      </c>
      <c r="E71" s="300">
        <f aca="true" t="shared" si="17" ref="E71:L71">+E69+E70</f>
        <v>0</v>
      </c>
      <c r="F71" s="300">
        <f t="shared" si="17"/>
        <v>0</v>
      </c>
      <c r="G71" s="300">
        <f t="shared" si="17"/>
        <v>0</v>
      </c>
      <c r="H71" s="300">
        <f t="shared" si="17"/>
        <v>0</v>
      </c>
      <c r="I71" s="300">
        <f t="shared" si="17"/>
        <v>0</v>
      </c>
      <c r="J71" s="300">
        <f t="shared" si="17"/>
        <v>0</v>
      </c>
      <c r="K71" s="300">
        <f t="shared" si="17"/>
        <v>0</v>
      </c>
      <c r="L71" s="300">
        <f t="shared" si="17"/>
        <v>0</v>
      </c>
      <c r="M71" s="57"/>
    </row>
    <row r="72" spans="1:13" ht="12.75">
      <c r="A72" s="298" t="s">
        <v>250</v>
      </c>
      <c r="B72" s="298"/>
      <c r="C72" s="301" t="e">
        <f>+C69/C71</f>
        <v>#DIV/0!</v>
      </c>
      <c r="D72" s="301" t="e">
        <f>+D69/D71</f>
        <v>#DIV/0!</v>
      </c>
      <c r="E72" s="301" t="e">
        <f aca="true" t="shared" si="18" ref="E72:L72">+E69/E71</f>
        <v>#DIV/0!</v>
      </c>
      <c r="F72" s="301" t="e">
        <f t="shared" si="18"/>
        <v>#DIV/0!</v>
      </c>
      <c r="G72" s="301" t="e">
        <f t="shared" si="18"/>
        <v>#DIV/0!</v>
      </c>
      <c r="H72" s="301" t="e">
        <f t="shared" si="18"/>
        <v>#DIV/0!</v>
      </c>
      <c r="I72" s="301" t="e">
        <f t="shared" si="18"/>
        <v>#DIV/0!</v>
      </c>
      <c r="J72" s="301" t="e">
        <f t="shared" si="18"/>
        <v>#DIV/0!</v>
      </c>
      <c r="K72" s="301" t="e">
        <f t="shared" si="18"/>
        <v>#DIV/0!</v>
      </c>
      <c r="L72" s="301" t="e">
        <f t="shared" si="18"/>
        <v>#DIV/0!</v>
      </c>
      <c r="M72" s="57"/>
    </row>
    <row r="73" spans="1:13" ht="12.75">
      <c r="A73" s="298" t="s">
        <v>245</v>
      </c>
      <c r="B73" s="298"/>
      <c r="C73" s="301" t="e">
        <f>+C70/C71</f>
        <v>#DIV/0!</v>
      </c>
      <c r="D73" s="301" t="e">
        <f>+D70/D71</f>
        <v>#DIV/0!</v>
      </c>
      <c r="E73" s="301" t="e">
        <f aca="true" t="shared" si="19" ref="E73:L73">+E70/E71</f>
        <v>#DIV/0!</v>
      </c>
      <c r="F73" s="301" t="e">
        <f t="shared" si="19"/>
        <v>#DIV/0!</v>
      </c>
      <c r="G73" s="301" t="e">
        <f t="shared" si="19"/>
        <v>#DIV/0!</v>
      </c>
      <c r="H73" s="301" t="e">
        <f t="shared" si="19"/>
        <v>#DIV/0!</v>
      </c>
      <c r="I73" s="301" t="e">
        <f t="shared" si="19"/>
        <v>#DIV/0!</v>
      </c>
      <c r="J73" s="301" t="e">
        <f t="shared" si="19"/>
        <v>#DIV/0!</v>
      </c>
      <c r="K73" s="301" t="e">
        <f t="shared" si="19"/>
        <v>#DIV/0!</v>
      </c>
      <c r="L73" s="301" t="e">
        <f t="shared" si="19"/>
        <v>#DIV/0!</v>
      </c>
      <c r="M73" s="57"/>
    </row>
    <row r="74" spans="1:13" ht="12.75">
      <c r="A74" s="57"/>
      <c r="B74" s="57"/>
      <c r="C74" s="269"/>
      <c r="D74" s="57"/>
      <c r="E74" s="57"/>
      <c r="F74" s="57"/>
      <c r="G74" s="57"/>
      <c r="H74" s="57"/>
      <c r="I74" s="57"/>
      <c r="J74" s="57"/>
      <c r="K74" s="57"/>
      <c r="L74" s="57"/>
      <c r="M74" s="57"/>
    </row>
    <row r="75" spans="1:13" ht="12.75">
      <c r="A75" s="401" t="s">
        <v>418</v>
      </c>
      <c r="B75" s="401"/>
      <c r="C75" s="399" t="e">
        <f>+Pressupostos!B37*(1+(1-Pressupostos!B29)*(Avaliação!C69/Avaliação!C70))</f>
        <v>#DIV/0!</v>
      </c>
      <c r="D75" s="400" t="e">
        <f>+C75</f>
        <v>#DIV/0!</v>
      </c>
      <c r="E75" s="400" t="e">
        <f aca="true" t="shared" si="20" ref="E75:L75">+D75</f>
        <v>#DIV/0!</v>
      </c>
      <c r="F75" s="400" t="e">
        <f t="shared" si="20"/>
        <v>#DIV/0!</v>
      </c>
      <c r="G75" s="400" t="e">
        <f t="shared" si="20"/>
        <v>#DIV/0!</v>
      </c>
      <c r="H75" s="400" t="e">
        <f t="shared" si="20"/>
        <v>#DIV/0!</v>
      </c>
      <c r="I75" s="400" t="e">
        <f t="shared" si="20"/>
        <v>#DIV/0!</v>
      </c>
      <c r="J75" s="400" t="e">
        <f t="shared" si="20"/>
        <v>#DIV/0!</v>
      </c>
      <c r="K75" s="400" t="e">
        <f t="shared" si="20"/>
        <v>#DIV/0!</v>
      </c>
      <c r="L75" s="400" t="e">
        <f t="shared" si="20"/>
        <v>#DIV/0!</v>
      </c>
      <c r="M75" s="57"/>
    </row>
    <row r="76" spans="1:13" ht="12.75">
      <c r="A76" s="296" t="s">
        <v>9</v>
      </c>
      <c r="B76" s="296"/>
      <c r="C76" s="269"/>
      <c r="D76" s="57"/>
      <c r="E76" s="57"/>
      <c r="F76" s="57"/>
      <c r="G76" s="57"/>
      <c r="H76" s="57"/>
      <c r="I76" s="57"/>
      <c r="J76" s="57"/>
      <c r="K76" s="57"/>
      <c r="L76" s="57"/>
      <c r="M76" s="57"/>
    </row>
    <row r="77" spans="1:13" ht="12.75">
      <c r="A77" s="298" t="s">
        <v>247</v>
      </c>
      <c r="B77" s="298"/>
      <c r="C77" s="301">
        <f>+Pressupostos!$B$33</f>
        <v>0.05</v>
      </c>
      <c r="D77" s="301">
        <f>+Pressupostos!$B$33</f>
        <v>0.05</v>
      </c>
      <c r="E77" s="301">
        <f>+Pressupostos!$B$33</f>
        <v>0.05</v>
      </c>
      <c r="F77" s="301">
        <f>+Pressupostos!$B$33</f>
        <v>0.05</v>
      </c>
      <c r="G77" s="301">
        <f>+Pressupostos!$B$33</f>
        <v>0.05</v>
      </c>
      <c r="H77" s="301">
        <f>+Pressupostos!$B$33</f>
        <v>0.05</v>
      </c>
      <c r="I77" s="301">
        <f>+Pressupostos!$B$33</f>
        <v>0.05</v>
      </c>
      <c r="J77" s="301">
        <f>+Pressupostos!$B$33</f>
        <v>0.05</v>
      </c>
      <c r="K77" s="301">
        <f>+Pressupostos!$B$33</f>
        <v>0.05</v>
      </c>
      <c r="L77" s="301">
        <f>+Pressupostos!$B$33</f>
        <v>0.05</v>
      </c>
      <c r="M77" s="57"/>
    </row>
    <row r="78" spans="1:13" ht="12.75">
      <c r="A78" s="298" t="s">
        <v>249</v>
      </c>
      <c r="B78" s="298"/>
      <c r="C78" s="301">
        <f>C77*(1-Pressupostos!$B$29)</f>
        <v>0.037500000000000006</v>
      </c>
      <c r="D78" s="301">
        <f>D77*(1-Pressupostos!$B$29)</f>
        <v>0.037500000000000006</v>
      </c>
      <c r="E78" s="301">
        <f>E77*(1-Pressupostos!$B$29)</f>
        <v>0.037500000000000006</v>
      </c>
      <c r="F78" s="301">
        <f>F77*(1-Pressupostos!$B$29)</f>
        <v>0.037500000000000006</v>
      </c>
      <c r="G78" s="301">
        <f>G77*(1-Pressupostos!$B$29)</f>
        <v>0.037500000000000006</v>
      </c>
      <c r="H78" s="301">
        <f>H77*(1-Pressupostos!$B$29)</f>
        <v>0.037500000000000006</v>
      </c>
      <c r="I78" s="301">
        <f>I77*(1-Pressupostos!$B$29)</f>
        <v>0.037500000000000006</v>
      </c>
      <c r="J78" s="301">
        <f>J77*(1-Pressupostos!$B$29)</f>
        <v>0.037500000000000006</v>
      </c>
      <c r="K78" s="301">
        <f>K77*(1-Pressupostos!$B$29)</f>
        <v>0.037500000000000006</v>
      </c>
      <c r="L78" s="301">
        <f>L77*(1-Pressupostos!$B$29)</f>
        <v>0.037500000000000006</v>
      </c>
      <c r="M78" s="57"/>
    </row>
    <row r="79" spans="1:13" ht="12.75">
      <c r="A79" s="298" t="s">
        <v>417</v>
      </c>
      <c r="B79" s="298"/>
      <c r="C79" s="301" t="e">
        <f>(C51+(C75*Pressupostos!$B$36))</f>
        <v>#DIV/0!</v>
      </c>
      <c r="D79" s="301" t="e">
        <f>(D51+(D75*Pressupostos!$B$36))</f>
        <v>#DIV/0!</v>
      </c>
      <c r="E79" s="301" t="e">
        <f>(E51+(E75*Pressupostos!$B$36))</f>
        <v>#DIV/0!</v>
      </c>
      <c r="F79" s="301" t="e">
        <f>(F51+(F75*Pressupostos!$B$36))</f>
        <v>#DIV/0!</v>
      </c>
      <c r="G79" s="301" t="e">
        <f>(G51+(G75*Pressupostos!$B$36))</f>
        <v>#DIV/0!</v>
      </c>
      <c r="H79" s="301" t="e">
        <f>(H51+(H75*Pressupostos!$B$36))</f>
        <v>#DIV/0!</v>
      </c>
      <c r="I79" s="301" t="e">
        <f>(I51+(I75*Pressupostos!$B$36))</f>
        <v>#DIV/0!</v>
      </c>
      <c r="J79" s="301" t="e">
        <f>(J51+(J75*Pressupostos!$B$36))</f>
        <v>#DIV/0!</v>
      </c>
      <c r="K79" s="301" t="e">
        <f>(K51+(K75*Pressupostos!$B$36))</f>
        <v>#DIV/0!</v>
      </c>
      <c r="L79" s="301" t="e">
        <f>(L51+(L75*Pressupostos!$B$36))</f>
        <v>#DIV/0!</v>
      </c>
      <c r="M79" s="57"/>
    </row>
    <row r="80" spans="1:13" ht="12.75">
      <c r="A80" s="298" t="s">
        <v>134</v>
      </c>
      <c r="B80" s="298"/>
      <c r="C80" s="301" t="e">
        <f>(C72*C78)+(C73*C79)</f>
        <v>#DIV/0!</v>
      </c>
      <c r="D80" s="301" t="e">
        <f>(D72*D78)+(D73*D79)</f>
        <v>#DIV/0!</v>
      </c>
      <c r="E80" s="301" t="e">
        <f aca="true" t="shared" si="21" ref="E80:L80">(E72*E78)+(E73*E79)</f>
        <v>#DIV/0!</v>
      </c>
      <c r="F80" s="301" t="e">
        <f t="shared" si="21"/>
        <v>#DIV/0!</v>
      </c>
      <c r="G80" s="301" t="e">
        <f t="shared" si="21"/>
        <v>#DIV/0!</v>
      </c>
      <c r="H80" s="301" t="e">
        <f t="shared" si="21"/>
        <v>#DIV/0!</v>
      </c>
      <c r="I80" s="301" t="e">
        <f t="shared" si="21"/>
        <v>#DIV/0!</v>
      </c>
      <c r="J80" s="301" t="e">
        <f t="shared" si="21"/>
        <v>#DIV/0!</v>
      </c>
      <c r="K80" s="301" t="e">
        <f t="shared" si="21"/>
        <v>#DIV/0!</v>
      </c>
      <c r="L80" s="301" t="e">
        <f t="shared" si="21"/>
        <v>#DIV/0!</v>
      </c>
      <c r="M80" s="57"/>
    </row>
    <row r="81" spans="1:13" ht="12.75">
      <c r="A81" s="57"/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57"/>
      <c r="M81" s="57"/>
    </row>
    <row r="82" spans="1:13" ht="12.75">
      <c r="A82" s="57"/>
      <c r="B82" s="269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</row>
  </sheetData>
  <sheetProtection password="8318" sheet="1"/>
  <mergeCells count="13">
    <mergeCell ref="N8:N10"/>
    <mergeCell ref="N28:N30"/>
    <mergeCell ref="N48:N50"/>
    <mergeCell ref="A4:M4"/>
    <mergeCell ref="A47:B47"/>
    <mergeCell ref="O39:Q40"/>
    <mergeCell ref="R39:R40"/>
    <mergeCell ref="O63:Q64"/>
    <mergeCell ref="R63:R64"/>
    <mergeCell ref="A7:B7"/>
    <mergeCell ref="O20:Q21"/>
    <mergeCell ref="R20:R21"/>
    <mergeCell ref="A27:B27"/>
  </mergeCells>
  <printOptions horizontalCentered="1"/>
  <pageMargins left="0.75" right="0.75" top="0.3937007874015748" bottom="0.3937007874015748" header="0.5118110236220472" footer="0.5118110236220472"/>
  <pageSetup fitToHeight="1" fitToWidth="1" horizontalDpi="600" verticalDpi="600" orientation="portrait" paperSize="9" scale="85" r:id="rId2"/>
  <headerFooter alignWithMargins="0">
    <oddFooter>&amp;C&amp;"Arial,Normal"&amp;8IAPMEI&amp;R&amp;"Arial,Normal"&amp;8&amp;P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lha6">
    <pageSetUpPr fitToPage="1"/>
  </sheetPr>
  <dimension ref="A1:H91"/>
  <sheetViews>
    <sheetView showGridLines="0" showZeros="0" zoomScalePageLayoutView="0" workbookViewId="0" topLeftCell="A70">
      <selection activeCell="E107" sqref="E107"/>
    </sheetView>
  </sheetViews>
  <sheetFormatPr defaultColWidth="8.7109375" defaultRowHeight="12.75"/>
  <cols>
    <col min="1" max="1" width="42.28125" style="67" customWidth="1"/>
    <col min="2" max="2" width="13.7109375" style="67" bestFit="1" customWidth="1"/>
    <col min="3" max="10" width="11.421875" style="67" customWidth="1"/>
    <col min="11" max="16384" width="8.7109375" style="67" customWidth="1"/>
  </cols>
  <sheetData>
    <row r="1" spans="1:8" ht="12.75">
      <c r="A1" s="57"/>
      <c r="B1" s="57"/>
      <c r="C1" s="236"/>
      <c r="D1" s="236"/>
      <c r="E1" s="236"/>
      <c r="F1" s="236"/>
      <c r="G1" s="237" t="s">
        <v>63</v>
      </c>
      <c r="H1" s="344" t="str">
        <f>+Pressupostos!E1</f>
        <v>XPTO SA</v>
      </c>
    </row>
    <row r="2" spans="1:8" s="241" customFormat="1" ht="12.75">
      <c r="A2" s="239"/>
      <c r="B2" s="239"/>
      <c r="C2" s="239"/>
      <c r="D2" s="239"/>
      <c r="E2" s="47"/>
      <c r="F2" s="47"/>
      <c r="G2" s="47"/>
      <c r="H2" s="240"/>
    </row>
    <row r="3" spans="1:8" s="241" customFormat="1" ht="12.75">
      <c r="A3" s="239"/>
      <c r="B3" s="239"/>
      <c r="C3" s="239"/>
      <c r="D3" s="239"/>
      <c r="E3" s="47"/>
      <c r="F3" s="47"/>
      <c r="G3" s="47"/>
      <c r="H3" s="240"/>
    </row>
    <row r="4" spans="1:8" ht="15.75">
      <c r="A4" s="508" t="s">
        <v>372</v>
      </c>
      <c r="B4" s="508"/>
      <c r="C4" s="508"/>
      <c r="D4" s="508"/>
      <c r="E4" s="508"/>
      <c r="F4" s="508"/>
      <c r="G4" s="508"/>
      <c r="H4" s="508"/>
    </row>
    <row r="5" spans="1:8" ht="12.75">
      <c r="A5" s="57"/>
      <c r="B5" s="146"/>
      <c r="C5" s="57"/>
      <c r="D5" s="57"/>
      <c r="E5" s="57"/>
      <c r="F5" s="57"/>
      <c r="G5" s="57"/>
      <c r="H5" s="57"/>
    </row>
    <row r="6" spans="1:8" ht="12.75">
      <c r="A6" s="345" t="s">
        <v>373</v>
      </c>
      <c r="B6" s="146"/>
      <c r="C6" s="57"/>
      <c r="D6" s="57"/>
      <c r="E6" s="57"/>
      <c r="F6" s="57"/>
      <c r="G6" s="57"/>
      <c r="H6" s="57"/>
    </row>
    <row r="7" spans="1:8" ht="12.75">
      <c r="A7" s="346" t="s">
        <v>374</v>
      </c>
      <c r="B7" s="347" t="s">
        <v>375</v>
      </c>
      <c r="C7" s="347" t="s">
        <v>376</v>
      </c>
      <c r="D7" s="347" t="s">
        <v>377</v>
      </c>
      <c r="E7" s="347" t="s">
        <v>378</v>
      </c>
      <c r="F7" s="347" t="s">
        <v>379</v>
      </c>
      <c r="G7" s="57"/>
      <c r="H7" s="57"/>
    </row>
    <row r="8" spans="1:8" ht="12.75">
      <c r="A8" s="348"/>
      <c r="B8" s="349"/>
      <c r="C8" s="349"/>
      <c r="D8" s="349"/>
      <c r="E8" s="349"/>
      <c r="F8" s="349"/>
      <c r="G8" s="57"/>
      <c r="H8" s="57"/>
    </row>
    <row r="9" spans="1:8" ht="12.75">
      <c r="A9" s="350"/>
      <c r="B9" s="349"/>
      <c r="C9" s="349"/>
      <c r="D9" s="349"/>
      <c r="E9" s="349"/>
      <c r="F9" s="349"/>
      <c r="G9" s="57"/>
      <c r="H9" s="57"/>
    </row>
    <row r="10" spans="1:8" ht="12.75">
      <c r="A10" s="351"/>
      <c r="B10" s="40"/>
      <c r="C10" s="40"/>
      <c r="D10" s="40"/>
      <c r="E10" s="40"/>
      <c r="F10" s="40"/>
      <c r="G10" s="57"/>
      <c r="H10" s="57"/>
    </row>
    <row r="11" spans="1:8" ht="12.75">
      <c r="A11" s="351"/>
      <c r="B11" s="40"/>
      <c r="C11" s="40"/>
      <c r="D11" s="40"/>
      <c r="E11" s="40"/>
      <c r="F11" s="40"/>
      <c r="G11" s="204"/>
      <c r="H11" s="204"/>
    </row>
    <row r="12" spans="1:8" ht="12.75">
      <c r="A12" s="351"/>
      <c r="B12" s="40"/>
      <c r="C12" s="40"/>
      <c r="D12" s="40"/>
      <c r="E12" s="40"/>
      <c r="F12" s="40"/>
      <c r="G12" s="204"/>
      <c r="H12" s="204"/>
    </row>
    <row r="13" spans="1:8" ht="12.75">
      <c r="A13" s="350"/>
      <c r="B13" s="40"/>
      <c r="C13" s="40"/>
      <c r="D13" s="40"/>
      <c r="E13" s="40"/>
      <c r="F13" s="40"/>
      <c r="G13" s="204"/>
      <c r="H13" s="204"/>
    </row>
    <row r="14" spans="1:8" ht="12.75">
      <c r="A14" s="350"/>
      <c r="B14" s="40"/>
      <c r="C14" s="40"/>
      <c r="D14" s="40"/>
      <c r="E14" s="40"/>
      <c r="F14" s="40"/>
      <c r="G14" s="204"/>
      <c r="H14" s="204"/>
    </row>
    <row r="15" spans="1:8" ht="12.75">
      <c r="A15" s="351"/>
      <c r="B15" s="40"/>
      <c r="C15" s="40"/>
      <c r="D15" s="40"/>
      <c r="E15" s="40"/>
      <c r="F15" s="40"/>
      <c r="G15" s="204"/>
      <c r="H15" s="204"/>
    </row>
    <row r="16" spans="1:8" ht="12.75">
      <c r="A16" s="351"/>
      <c r="B16" s="40"/>
      <c r="C16" s="40"/>
      <c r="D16" s="40"/>
      <c r="E16" s="40"/>
      <c r="F16" s="40"/>
      <c r="G16" s="204"/>
      <c r="H16" s="204"/>
    </row>
    <row r="17" spans="1:8" ht="12.75">
      <c r="A17" s="350"/>
      <c r="B17" s="40"/>
      <c r="C17" s="40"/>
      <c r="D17" s="40"/>
      <c r="E17" s="40"/>
      <c r="F17" s="40"/>
      <c r="G17" s="204"/>
      <c r="H17" s="204"/>
    </row>
    <row r="18" spans="1:8" ht="12.75">
      <c r="A18" s="350"/>
      <c r="B18" s="40"/>
      <c r="C18" s="40"/>
      <c r="D18" s="40"/>
      <c r="E18" s="40"/>
      <c r="F18" s="40"/>
      <c r="G18" s="204"/>
      <c r="H18" s="204"/>
    </row>
    <row r="19" spans="1:8" ht="12.75">
      <c r="A19" s="350"/>
      <c r="B19" s="40"/>
      <c r="C19" s="40"/>
      <c r="D19" s="40"/>
      <c r="E19" s="40"/>
      <c r="F19" s="40"/>
      <c r="G19" s="204"/>
      <c r="H19" s="204"/>
    </row>
    <row r="20" spans="1:8" ht="12.75">
      <c r="A20" s="348"/>
      <c r="B20" s="352"/>
      <c r="C20" s="352"/>
      <c r="D20" s="352"/>
      <c r="E20" s="352"/>
      <c r="F20" s="352"/>
      <c r="G20" s="204"/>
      <c r="H20" s="204"/>
    </row>
    <row r="21" spans="1:8" ht="12.75">
      <c r="A21" s="350"/>
      <c r="B21" s="353"/>
      <c r="C21" s="354"/>
      <c r="D21" s="354"/>
      <c r="E21" s="354"/>
      <c r="F21" s="355"/>
      <c r="G21" s="204"/>
      <c r="H21" s="204"/>
    </row>
    <row r="22" spans="1:8" ht="12.75">
      <c r="A22" s="146"/>
      <c r="B22" s="356"/>
      <c r="C22" s="356"/>
      <c r="D22" s="356"/>
      <c r="E22" s="356"/>
      <c r="F22" s="356"/>
      <c r="G22" s="204"/>
      <c r="H22" s="204"/>
    </row>
    <row r="23" spans="1:8" ht="12.75">
      <c r="A23" s="146"/>
      <c r="B23" s="356"/>
      <c r="C23" s="356"/>
      <c r="D23" s="356"/>
      <c r="E23" s="356"/>
      <c r="F23" s="356"/>
      <c r="G23" s="204"/>
      <c r="H23" s="204"/>
    </row>
    <row r="24" spans="1:8" ht="12.75">
      <c r="A24" s="345" t="s">
        <v>380</v>
      </c>
      <c r="B24" s="146"/>
      <c r="C24" s="57"/>
      <c r="D24" s="57"/>
      <c r="E24" s="57"/>
      <c r="F24" s="57"/>
      <c r="G24" s="204"/>
      <c r="H24" s="204" t="s">
        <v>381</v>
      </c>
    </row>
    <row r="25" spans="1:8" ht="12.75">
      <c r="A25" s="346" t="s">
        <v>382</v>
      </c>
      <c r="B25" s="357"/>
      <c r="C25" s="347">
        <f>+Pressupostos!B11</f>
        <v>2016</v>
      </c>
      <c r="D25" s="347">
        <f>+C25+1</f>
        <v>2017</v>
      </c>
      <c r="E25" s="347">
        <f>+D25+1</f>
        <v>2018</v>
      </c>
      <c r="F25" s="347">
        <f>+E25+1</f>
        <v>2019</v>
      </c>
      <c r="G25" s="347">
        <f>+F25+1</f>
        <v>2020</v>
      </c>
      <c r="H25" s="347">
        <f>+G25+1</f>
        <v>2021</v>
      </c>
    </row>
    <row r="26" spans="1:8" ht="12.75">
      <c r="A26" s="320" t="s">
        <v>376</v>
      </c>
      <c r="B26" s="358"/>
      <c r="C26" s="349"/>
      <c r="D26" s="349"/>
      <c r="E26" s="349"/>
      <c r="F26" s="349"/>
      <c r="G26" s="349"/>
      <c r="H26" s="349"/>
    </row>
    <row r="27" spans="1:8" ht="12.75">
      <c r="A27" s="320" t="s">
        <v>377</v>
      </c>
      <c r="B27" s="359"/>
      <c r="C27" s="40"/>
      <c r="D27" s="40"/>
      <c r="E27" s="40"/>
      <c r="F27" s="40"/>
      <c r="G27" s="40"/>
      <c r="H27" s="40"/>
    </row>
    <row r="28" spans="1:8" ht="12.75">
      <c r="A28" s="320" t="s">
        <v>378</v>
      </c>
      <c r="B28" s="359"/>
      <c r="C28" s="40"/>
      <c r="D28" s="40"/>
      <c r="E28" s="40"/>
      <c r="F28" s="40"/>
      <c r="G28" s="40"/>
      <c r="H28" s="40"/>
    </row>
    <row r="29" spans="1:8" ht="12.75">
      <c r="A29" s="320" t="s">
        <v>379</v>
      </c>
      <c r="B29" s="359"/>
      <c r="C29" s="40"/>
      <c r="D29" s="40"/>
      <c r="E29" s="40"/>
      <c r="F29" s="40"/>
      <c r="G29" s="40"/>
      <c r="H29" s="40"/>
    </row>
    <row r="30" spans="1:8" ht="12.75">
      <c r="A30" s="350"/>
      <c r="B30" s="359"/>
      <c r="C30" s="40"/>
      <c r="D30" s="40"/>
      <c r="E30" s="40"/>
      <c r="F30" s="40"/>
      <c r="G30" s="40"/>
      <c r="H30" s="40"/>
    </row>
    <row r="31" spans="1:8" ht="12.75">
      <c r="A31" s="350"/>
      <c r="B31" s="359"/>
      <c r="C31" s="40"/>
      <c r="D31" s="40"/>
      <c r="E31" s="40"/>
      <c r="F31" s="40"/>
      <c r="G31" s="40"/>
      <c r="H31" s="40"/>
    </row>
    <row r="32" spans="1:8" ht="12.75">
      <c r="A32" s="351"/>
      <c r="B32" s="359"/>
      <c r="C32" s="40"/>
      <c r="D32" s="40"/>
      <c r="E32" s="40"/>
      <c r="F32" s="40"/>
      <c r="G32" s="40"/>
      <c r="H32" s="40"/>
    </row>
    <row r="33" spans="1:8" ht="12.75">
      <c r="A33" s="570" t="s">
        <v>46</v>
      </c>
      <c r="B33" s="571"/>
      <c r="C33" s="360">
        <f aca="true" t="shared" si="0" ref="C33:H33">+SUM(C26:C32)</f>
        <v>0</v>
      </c>
      <c r="D33" s="360">
        <f t="shared" si="0"/>
        <v>0</v>
      </c>
      <c r="E33" s="360">
        <f t="shared" si="0"/>
        <v>0</v>
      </c>
      <c r="F33" s="360">
        <f t="shared" si="0"/>
        <v>0</v>
      </c>
      <c r="G33" s="360">
        <f t="shared" si="0"/>
        <v>0</v>
      </c>
      <c r="H33" s="360">
        <f t="shared" si="0"/>
        <v>0</v>
      </c>
    </row>
    <row r="34" spans="1:8" ht="12.75">
      <c r="A34" s="155"/>
      <c r="B34" s="361"/>
      <c r="C34" s="163"/>
      <c r="D34" s="163"/>
      <c r="E34" s="163"/>
      <c r="F34" s="163"/>
      <c r="G34" s="204"/>
      <c r="H34" s="204"/>
    </row>
    <row r="35" spans="1:8" ht="12.75">
      <c r="A35" s="345" t="s">
        <v>383</v>
      </c>
      <c r="B35" s="146"/>
      <c r="C35" s="57"/>
      <c r="D35" s="57"/>
      <c r="E35" s="57"/>
      <c r="F35" s="57"/>
      <c r="G35" s="204"/>
      <c r="H35" s="204" t="s">
        <v>381</v>
      </c>
    </row>
    <row r="36" spans="1:8" ht="12.75">
      <c r="A36" s="570" t="s">
        <v>384</v>
      </c>
      <c r="B36" s="571"/>
      <c r="C36" s="347">
        <f aca="true" t="shared" si="1" ref="C36:H36">+C25</f>
        <v>2016</v>
      </c>
      <c r="D36" s="347">
        <f t="shared" si="1"/>
        <v>2017</v>
      </c>
      <c r="E36" s="347">
        <f t="shared" si="1"/>
        <v>2018</v>
      </c>
      <c r="F36" s="347">
        <f t="shared" si="1"/>
        <v>2019</v>
      </c>
      <c r="G36" s="347">
        <f t="shared" si="1"/>
        <v>2020</v>
      </c>
      <c r="H36" s="347">
        <f t="shared" si="1"/>
        <v>2021</v>
      </c>
    </row>
    <row r="37" spans="1:8" ht="12.75">
      <c r="A37" s="348"/>
      <c r="B37" s="358"/>
      <c r="C37" s="349"/>
      <c r="D37" s="349"/>
      <c r="E37" s="349"/>
      <c r="F37" s="349"/>
      <c r="G37" s="349"/>
      <c r="H37" s="349"/>
    </row>
    <row r="38" spans="1:8" ht="12.75">
      <c r="A38" s="362"/>
      <c r="B38" s="358"/>
      <c r="C38" s="349"/>
      <c r="D38" s="349"/>
      <c r="E38" s="349"/>
      <c r="F38" s="349"/>
      <c r="G38" s="349"/>
      <c r="H38" s="349"/>
    </row>
    <row r="39" spans="1:8" ht="12.75">
      <c r="A39" s="362"/>
      <c r="B39" s="358"/>
      <c r="C39" s="349"/>
      <c r="D39" s="349"/>
      <c r="E39" s="349"/>
      <c r="F39" s="349"/>
      <c r="G39" s="349"/>
      <c r="H39" s="349"/>
    </row>
    <row r="40" spans="1:8" ht="12.75">
      <c r="A40" s="362"/>
      <c r="B40" s="358"/>
      <c r="C40" s="349"/>
      <c r="D40" s="349"/>
      <c r="E40" s="349"/>
      <c r="F40" s="349"/>
      <c r="G40" s="349"/>
      <c r="H40" s="349"/>
    </row>
    <row r="41" spans="1:8" ht="12.75">
      <c r="A41" s="362"/>
      <c r="B41" s="358"/>
      <c r="C41" s="349"/>
      <c r="D41" s="349"/>
      <c r="E41" s="349"/>
      <c r="F41" s="349"/>
      <c r="G41" s="349"/>
      <c r="H41" s="349"/>
    </row>
    <row r="42" spans="1:8" ht="12.75">
      <c r="A42" s="362"/>
      <c r="B42" s="358"/>
      <c r="C42" s="349"/>
      <c r="D42" s="349"/>
      <c r="E42" s="349"/>
      <c r="F42" s="349"/>
      <c r="G42" s="349"/>
      <c r="H42" s="349"/>
    </row>
    <row r="43" spans="1:8" ht="12.75">
      <c r="A43" s="362"/>
      <c r="B43" s="358"/>
      <c r="C43" s="349"/>
      <c r="D43" s="349"/>
      <c r="E43" s="349"/>
      <c r="F43" s="349"/>
      <c r="G43" s="349"/>
      <c r="H43" s="349"/>
    </row>
    <row r="44" spans="1:8" ht="12.75">
      <c r="A44" s="362"/>
      <c r="B44" s="359"/>
      <c r="C44" s="349"/>
      <c r="D44" s="349"/>
      <c r="E44" s="349"/>
      <c r="F44" s="349"/>
      <c r="G44" s="349"/>
      <c r="H44" s="349"/>
    </row>
    <row r="45" spans="1:8" ht="12.75">
      <c r="A45" s="362"/>
      <c r="B45" s="359"/>
      <c r="C45" s="349"/>
      <c r="D45" s="349"/>
      <c r="E45" s="349"/>
      <c r="F45" s="349"/>
      <c r="G45" s="349"/>
      <c r="H45" s="349"/>
    </row>
    <row r="46" spans="1:8" ht="12.75">
      <c r="A46" s="362"/>
      <c r="B46" s="359"/>
      <c r="C46" s="349"/>
      <c r="D46" s="349"/>
      <c r="E46" s="349"/>
      <c r="F46" s="349"/>
      <c r="G46" s="349"/>
      <c r="H46" s="349"/>
    </row>
    <row r="47" spans="1:8" ht="12.75">
      <c r="A47" s="350"/>
      <c r="B47" s="359"/>
      <c r="C47" s="349"/>
      <c r="D47" s="349"/>
      <c r="E47" s="349"/>
      <c r="F47" s="349"/>
      <c r="G47" s="349"/>
      <c r="H47" s="349"/>
    </row>
    <row r="48" spans="1:8" ht="12.75">
      <c r="A48" s="350"/>
      <c r="B48" s="359"/>
      <c r="C48" s="349"/>
      <c r="D48" s="349"/>
      <c r="E48" s="349"/>
      <c r="F48" s="349"/>
      <c r="G48" s="349"/>
      <c r="H48" s="349"/>
    </row>
    <row r="49" spans="1:8" ht="12.75">
      <c r="A49" s="350"/>
      <c r="B49" s="359"/>
      <c r="C49" s="349"/>
      <c r="D49" s="349"/>
      <c r="E49" s="349"/>
      <c r="F49" s="349"/>
      <c r="G49" s="349"/>
      <c r="H49" s="349"/>
    </row>
    <row r="50" spans="1:8" ht="12.75">
      <c r="A50" s="351"/>
      <c r="B50" s="359"/>
      <c r="C50" s="40"/>
      <c r="D50" s="40"/>
      <c r="E50" s="40"/>
      <c r="F50" s="40"/>
      <c r="G50" s="40"/>
      <c r="H50" s="40"/>
    </row>
    <row r="51" spans="1:8" ht="12.75">
      <c r="A51" s="146"/>
      <c r="B51" s="146"/>
      <c r="C51" s="146"/>
      <c r="D51" s="146"/>
      <c r="E51" s="146"/>
      <c r="F51" s="146"/>
      <c r="G51" s="57"/>
      <c r="H51" s="57"/>
    </row>
    <row r="52" spans="1:8" ht="12.75">
      <c r="A52" s="146"/>
      <c r="B52" s="146"/>
      <c r="C52" s="146"/>
      <c r="D52" s="146"/>
      <c r="E52" s="146"/>
      <c r="F52" s="146"/>
      <c r="G52" s="57"/>
      <c r="H52" s="57"/>
    </row>
    <row r="53" spans="1:8" ht="12.75">
      <c r="A53" s="345" t="s">
        <v>385</v>
      </c>
      <c r="B53" s="146"/>
      <c r="C53" s="57"/>
      <c r="D53" s="57"/>
      <c r="E53" s="57"/>
      <c r="F53" s="57"/>
      <c r="G53" s="204"/>
      <c r="H53" s="204"/>
    </row>
    <row r="54" spans="1:8" ht="12.75">
      <c r="A54" s="570" t="s">
        <v>386</v>
      </c>
      <c r="B54" s="571"/>
      <c r="C54" s="347">
        <f aca="true" t="shared" si="2" ref="C54:H54">+C36</f>
        <v>2016</v>
      </c>
      <c r="D54" s="347">
        <f t="shared" si="2"/>
        <v>2017</v>
      </c>
      <c r="E54" s="347">
        <f t="shared" si="2"/>
        <v>2018</v>
      </c>
      <c r="F54" s="347">
        <f t="shared" si="2"/>
        <v>2019</v>
      </c>
      <c r="G54" s="347">
        <f t="shared" si="2"/>
        <v>2020</v>
      </c>
      <c r="H54" s="347">
        <f t="shared" si="2"/>
        <v>2021</v>
      </c>
    </row>
    <row r="55" spans="1:8" ht="12.75">
      <c r="A55" s="348"/>
      <c r="B55" s="358"/>
      <c r="C55" s="349"/>
      <c r="D55" s="349"/>
      <c r="E55" s="349"/>
      <c r="F55" s="349"/>
      <c r="G55" s="349"/>
      <c r="H55" s="349"/>
    </row>
    <row r="56" spans="1:8" ht="12.75">
      <c r="A56" s="362"/>
      <c r="B56" s="358"/>
      <c r="C56" s="349"/>
      <c r="D56" s="349"/>
      <c r="E56" s="349"/>
      <c r="F56" s="349"/>
      <c r="G56" s="349"/>
      <c r="H56" s="349"/>
    </row>
    <row r="57" spans="1:8" ht="12.75">
      <c r="A57" s="362"/>
      <c r="B57" s="358"/>
      <c r="C57" s="349"/>
      <c r="D57" s="349"/>
      <c r="E57" s="349"/>
      <c r="F57" s="349"/>
      <c r="G57" s="349"/>
      <c r="H57" s="349"/>
    </row>
    <row r="58" spans="1:8" ht="12.75">
      <c r="A58" s="362"/>
      <c r="B58" s="358"/>
      <c r="C58" s="349"/>
      <c r="D58" s="349"/>
      <c r="E58" s="349"/>
      <c r="F58" s="349"/>
      <c r="G58" s="349"/>
      <c r="H58" s="349"/>
    </row>
    <row r="59" spans="1:8" ht="12.75">
      <c r="A59" s="362"/>
      <c r="B59" s="358"/>
      <c r="C59" s="349"/>
      <c r="D59" s="349"/>
      <c r="E59" s="349"/>
      <c r="F59" s="349"/>
      <c r="G59" s="349"/>
      <c r="H59" s="349"/>
    </row>
    <row r="60" spans="1:8" ht="12.75">
      <c r="A60" s="362"/>
      <c r="B60" s="358"/>
      <c r="C60" s="349"/>
      <c r="D60" s="349"/>
      <c r="E60" s="349"/>
      <c r="F60" s="349"/>
      <c r="G60" s="349"/>
      <c r="H60" s="349"/>
    </row>
    <row r="61" spans="1:8" ht="12.75">
      <c r="A61" s="362"/>
      <c r="B61" s="358"/>
      <c r="C61" s="349"/>
      <c r="D61" s="349"/>
      <c r="E61" s="349"/>
      <c r="F61" s="349"/>
      <c r="G61" s="349"/>
      <c r="H61" s="349"/>
    </row>
    <row r="62" spans="1:8" ht="12.75">
      <c r="A62" s="362"/>
      <c r="B62" s="359"/>
      <c r="C62" s="40"/>
      <c r="D62" s="40"/>
      <c r="E62" s="40"/>
      <c r="F62" s="40"/>
      <c r="G62" s="40"/>
      <c r="H62" s="40"/>
    </row>
    <row r="63" spans="1:8" ht="12.75">
      <c r="A63" s="362"/>
      <c r="B63" s="359"/>
      <c r="C63" s="40"/>
      <c r="D63" s="40"/>
      <c r="E63" s="40"/>
      <c r="F63" s="40"/>
      <c r="G63" s="40"/>
      <c r="H63" s="40"/>
    </row>
    <row r="64" spans="1:8" ht="12.75">
      <c r="A64" s="362"/>
      <c r="B64" s="359"/>
      <c r="C64" s="40"/>
      <c r="D64" s="40"/>
      <c r="E64" s="40"/>
      <c r="F64" s="40"/>
      <c r="G64" s="40"/>
      <c r="H64" s="40"/>
    </row>
    <row r="65" spans="1:8" ht="12.75">
      <c r="A65" s="350"/>
      <c r="B65" s="359"/>
      <c r="C65" s="40"/>
      <c r="D65" s="40"/>
      <c r="E65" s="40"/>
      <c r="F65" s="40"/>
      <c r="G65" s="40"/>
      <c r="H65" s="40"/>
    </row>
    <row r="66" spans="1:8" ht="12.75">
      <c r="A66" s="350"/>
      <c r="B66" s="359"/>
      <c r="C66" s="40"/>
      <c r="D66" s="40"/>
      <c r="E66" s="40"/>
      <c r="F66" s="40"/>
      <c r="G66" s="40"/>
      <c r="H66" s="40"/>
    </row>
    <row r="67" spans="1:8" ht="12.75">
      <c r="A67" s="350"/>
      <c r="B67" s="359"/>
      <c r="C67" s="40"/>
      <c r="D67" s="40"/>
      <c r="E67" s="40"/>
      <c r="F67" s="40"/>
      <c r="G67" s="40"/>
      <c r="H67" s="40"/>
    </row>
    <row r="68" spans="1:8" ht="12.75">
      <c r="A68" s="351"/>
      <c r="B68" s="359"/>
      <c r="C68" s="40"/>
      <c r="D68" s="40"/>
      <c r="E68" s="40"/>
      <c r="F68" s="40"/>
      <c r="G68" s="40"/>
      <c r="H68" s="40"/>
    </row>
    <row r="69" spans="1:8" ht="12.75">
      <c r="A69" s="146"/>
      <c r="B69" s="146"/>
      <c r="C69" s="146"/>
      <c r="D69" s="146"/>
      <c r="E69" s="146"/>
      <c r="F69" s="146"/>
      <c r="G69" s="57"/>
      <c r="H69" s="57"/>
    </row>
    <row r="70" spans="1:8" ht="12.75">
      <c r="A70" s="146"/>
      <c r="B70" s="146"/>
      <c r="C70" s="146"/>
      <c r="D70" s="146"/>
      <c r="E70" s="146"/>
      <c r="F70" s="146"/>
      <c r="G70" s="57"/>
      <c r="H70" s="57"/>
    </row>
    <row r="71" spans="1:8" ht="12.75">
      <c r="A71" s="345" t="s">
        <v>387</v>
      </c>
      <c r="B71" s="146"/>
      <c r="C71" s="57"/>
      <c r="D71" s="57"/>
      <c r="E71" s="57"/>
      <c r="F71" s="57"/>
      <c r="G71" s="204"/>
      <c r="H71" s="204"/>
    </row>
    <row r="72" spans="1:8" ht="12.75">
      <c r="A72" s="570" t="s">
        <v>386</v>
      </c>
      <c r="B72" s="571"/>
      <c r="C72" s="347">
        <f aca="true" t="shared" si="3" ref="C72:H72">+C25</f>
        <v>2016</v>
      </c>
      <c r="D72" s="347">
        <f t="shared" si="3"/>
        <v>2017</v>
      </c>
      <c r="E72" s="347">
        <f t="shared" si="3"/>
        <v>2018</v>
      </c>
      <c r="F72" s="347">
        <f t="shared" si="3"/>
        <v>2019</v>
      </c>
      <c r="G72" s="347">
        <f t="shared" si="3"/>
        <v>2020</v>
      </c>
      <c r="H72" s="347">
        <f t="shared" si="3"/>
        <v>2021</v>
      </c>
    </row>
    <row r="73" spans="1:8" ht="12.75">
      <c r="A73" s="348"/>
      <c r="B73" s="358"/>
      <c r="C73" s="349">
        <f aca="true" t="shared" si="4" ref="C73:H73">+C37*C55</f>
        <v>0</v>
      </c>
      <c r="D73" s="349">
        <f t="shared" si="4"/>
        <v>0</v>
      </c>
      <c r="E73" s="349">
        <f t="shared" si="4"/>
        <v>0</v>
      </c>
      <c r="F73" s="349">
        <f t="shared" si="4"/>
        <v>0</v>
      </c>
      <c r="G73" s="349">
        <f t="shared" si="4"/>
        <v>0</v>
      </c>
      <c r="H73" s="349">
        <f t="shared" si="4"/>
        <v>0</v>
      </c>
    </row>
    <row r="74" spans="1:8" ht="12.75">
      <c r="A74" s="362"/>
      <c r="B74" s="358"/>
      <c r="C74" s="349">
        <f aca="true" t="shared" si="5" ref="C74:H86">+C38*C56</f>
        <v>0</v>
      </c>
      <c r="D74" s="349">
        <f t="shared" si="5"/>
        <v>0</v>
      </c>
      <c r="E74" s="349">
        <f t="shared" si="5"/>
        <v>0</v>
      </c>
      <c r="F74" s="349">
        <f t="shared" si="5"/>
        <v>0</v>
      </c>
      <c r="G74" s="349">
        <f t="shared" si="5"/>
        <v>0</v>
      </c>
      <c r="H74" s="349">
        <f t="shared" si="5"/>
        <v>0</v>
      </c>
    </row>
    <row r="75" spans="1:8" ht="12.75">
      <c r="A75" s="362"/>
      <c r="B75" s="358"/>
      <c r="C75" s="349">
        <f t="shared" si="5"/>
        <v>0</v>
      </c>
      <c r="D75" s="349">
        <f t="shared" si="5"/>
        <v>0</v>
      </c>
      <c r="E75" s="349">
        <f t="shared" si="5"/>
        <v>0</v>
      </c>
      <c r="F75" s="349">
        <f t="shared" si="5"/>
        <v>0</v>
      </c>
      <c r="G75" s="349">
        <f t="shared" si="5"/>
        <v>0</v>
      </c>
      <c r="H75" s="349">
        <f t="shared" si="5"/>
        <v>0</v>
      </c>
    </row>
    <row r="76" spans="1:8" ht="12.75">
      <c r="A76" s="362"/>
      <c r="B76" s="358"/>
      <c r="C76" s="349">
        <f t="shared" si="5"/>
        <v>0</v>
      </c>
      <c r="D76" s="349">
        <f t="shared" si="5"/>
        <v>0</v>
      </c>
      <c r="E76" s="349">
        <f t="shared" si="5"/>
        <v>0</v>
      </c>
      <c r="F76" s="349">
        <f t="shared" si="5"/>
        <v>0</v>
      </c>
      <c r="G76" s="349">
        <f t="shared" si="5"/>
        <v>0</v>
      </c>
      <c r="H76" s="349">
        <f t="shared" si="5"/>
        <v>0</v>
      </c>
    </row>
    <row r="77" spans="1:8" ht="12.75">
      <c r="A77" s="362"/>
      <c r="B77" s="358"/>
      <c r="C77" s="349">
        <f t="shared" si="5"/>
        <v>0</v>
      </c>
      <c r="D77" s="349">
        <f t="shared" si="5"/>
        <v>0</v>
      </c>
      <c r="E77" s="349">
        <f t="shared" si="5"/>
        <v>0</v>
      </c>
      <c r="F77" s="349">
        <f t="shared" si="5"/>
        <v>0</v>
      </c>
      <c r="G77" s="349">
        <f t="shared" si="5"/>
        <v>0</v>
      </c>
      <c r="H77" s="349">
        <f t="shared" si="5"/>
        <v>0</v>
      </c>
    </row>
    <row r="78" spans="1:8" ht="12.75">
      <c r="A78" s="362"/>
      <c r="B78" s="358"/>
      <c r="C78" s="349">
        <f t="shared" si="5"/>
        <v>0</v>
      </c>
      <c r="D78" s="349">
        <f t="shared" si="5"/>
        <v>0</v>
      </c>
      <c r="E78" s="349">
        <f t="shared" si="5"/>
        <v>0</v>
      </c>
      <c r="F78" s="349">
        <f t="shared" si="5"/>
        <v>0</v>
      </c>
      <c r="G78" s="349">
        <f t="shared" si="5"/>
        <v>0</v>
      </c>
      <c r="H78" s="349">
        <f t="shared" si="5"/>
        <v>0</v>
      </c>
    </row>
    <row r="79" spans="1:8" ht="12.75">
      <c r="A79" s="362"/>
      <c r="B79" s="358"/>
      <c r="C79" s="349">
        <f t="shared" si="5"/>
        <v>0</v>
      </c>
      <c r="D79" s="349">
        <f t="shared" si="5"/>
        <v>0</v>
      </c>
      <c r="E79" s="349">
        <f t="shared" si="5"/>
        <v>0</v>
      </c>
      <c r="F79" s="349">
        <f t="shared" si="5"/>
        <v>0</v>
      </c>
      <c r="G79" s="349">
        <f t="shared" si="5"/>
        <v>0</v>
      </c>
      <c r="H79" s="349">
        <f t="shared" si="5"/>
        <v>0</v>
      </c>
    </row>
    <row r="80" spans="1:8" ht="12.75">
      <c r="A80" s="362"/>
      <c r="B80" s="359"/>
      <c r="C80" s="349">
        <f t="shared" si="5"/>
        <v>0</v>
      </c>
      <c r="D80" s="349">
        <f t="shared" si="5"/>
        <v>0</v>
      </c>
      <c r="E80" s="349">
        <f t="shared" si="5"/>
        <v>0</v>
      </c>
      <c r="F80" s="349">
        <f t="shared" si="5"/>
        <v>0</v>
      </c>
      <c r="G80" s="349">
        <f t="shared" si="5"/>
        <v>0</v>
      </c>
      <c r="H80" s="349">
        <f t="shared" si="5"/>
        <v>0</v>
      </c>
    </row>
    <row r="81" spans="1:8" ht="12.75">
      <c r="A81" s="362"/>
      <c r="B81" s="359"/>
      <c r="C81" s="349">
        <f t="shared" si="5"/>
        <v>0</v>
      </c>
      <c r="D81" s="349">
        <f t="shared" si="5"/>
        <v>0</v>
      </c>
      <c r="E81" s="349">
        <f t="shared" si="5"/>
        <v>0</v>
      </c>
      <c r="F81" s="349">
        <f t="shared" si="5"/>
        <v>0</v>
      </c>
      <c r="G81" s="349">
        <f t="shared" si="5"/>
        <v>0</v>
      </c>
      <c r="H81" s="349">
        <f t="shared" si="5"/>
        <v>0</v>
      </c>
    </row>
    <row r="82" spans="1:8" ht="12.75">
      <c r="A82" s="362"/>
      <c r="B82" s="359"/>
      <c r="C82" s="349">
        <f t="shared" si="5"/>
        <v>0</v>
      </c>
      <c r="D82" s="349">
        <f t="shared" si="5"/>
        <v>0</v>
      </c>
      <c r="E82" s="349">
        <f t="shared" si="5"/>
        <v>0</v>
      </c>
      <c r="F82" s="349">
        <f t="shared" si="5"/>
        <v>0</v>
      </c>
      <c r="G82" s="349">
        <f t="shared" si="5"/>
        <v>0</v>
      </c>
      <c r="H82" s="349">
        <f t="shared" si="5"/>
        <v>0</v>
      </c>
    </row>
    <row r="83" spans="1:8" ht="12.75">
      <c r="A83" s="350"/>
      <c r="B83" s="359"/>
      <c r="C83" s="349">
        <f t="shared" si="5"/>
        <v>0</v>
      </c>
      <c r="D83" s="349">
        <f t="shared" si="5"/>
        <v>0</v>
      </c>
      <c r="E83" s="349">
        <f t="shared" si="5"/>
        <v>0</v>
      </c>
      <c r="F83" s="349">
        <f t="shared" si="5"/>
        <v>0</v>
      </c>
      <c r="G83" s="349">
        <f t="shared" si="5"/>
        <v>0</v>
      </c>
      <c r="H83" s="349">
        <f t="shared" si="5"/>
        <v>0</v>
      </c>
    </row>
    <row r="84" spans="1:8" ht="12.75">
      <c r="A84" s="350"/>
      <c r="B84" s="359"/>
      <c r="C84" s="349">
        <f t="shared" si="5"/>
        <v>0</v>
      </c>
      <c r="D84" s="349">
        <f t="shared" si="5"/>
        <v>0</v>
      </c>
      <c r="E84" s="349">
        <f t="shared" si="5"/>
        <v>0</v>
      </c>
      <c r="F84" s="349">
        <f t="shared" si="5"/>
        <v>0</v>
      </c>
      <c r="G84" s="349">
        <f t="shared" si="5"/>
        <v>0</v>
      </c>
      <c r="H84" s="349">
        <f t="shared" si="5"/>
        <v>0</v>
      </c>
    </row>
    <row r="85" spans="1:8" ht="12.75">
      <c r="A85" s="350"/>
      <c r="B85" s="359"/>
      <c r="C85" s="349">
        <f t="shared" si="5"/>
        <v>0</v>
      </c>
      <c r="D85" s="349">
        <f t="shared" si="5"/>
        <v>0</v>
      </c>
      <c r="E85" s="349">
        <f t="shared" si="5"/>
        <v>0</v>
      </c>
      <c r="F85" s="349">
        <f t="shared" si="5"/>
        <v>0</v>
      </c>
      <c r="G85" s="349">
        <f t="shared" si="5"/>
        <v>0</v>
      </c>
      <c r="H85" s="349">
        <f t="shared" si="5"/>
        <v>0</v>
      </c>
    </row>
    <row r="86" spans="1:8" ht="12.75">
      <c r="A86" s="351"/>
      <c r="B86" s="359"/>
      <c r="C86" s="349">
        <f t="shared" si="5"/>
        <v>0</v>
      </c>
      <c r="D86" s="349">
        <f t="shared" si="5"/>
        <v>0</v>
      </c>
      <c r="E86" s="349">
        <f t="shared" si="5"/>
        <v>0</v>
      </c>
      <c r="F86" s="349">
        <f t="shared" si="5"/>
        <v>0</v>
      </c>
      <c r="G86" s="349">
        <f t="shared" si="5"/>
        <v>0</v>
      </c>
      <c r="H86" s="349">
        <f t="shared" si="5"/>
        <v>0</v>
      </c>
    </row>
    <row r="87" spans="1:8" ht="12.75">
      <c r="A87" s="570" t="s">
        <v>46</v>
      </c>
      <c r="B87" s="571"/>
      <c r="C87" s="360">
        <f aca="true" t="shared" si="6" ref="C87:H87">+SUM(C73:C86)</f>
        <v>0</v>
      </c>
      <c r="D87" s="360">
        <f t="shared" si="6"/>
        <v>0</v>
      </c>
      <c r="E87" s="360">
        <f t="shared" si="6"/>
        <v>0</v>
      </c>
      <c r="F87" s="360">
        <f t="shared" si="6"/>
        <v>0</v>
      </c>
      <c r="G87" s="360">
        <f t="shared" si="6"/>
        <v>0</v>
      </c>
      <c r="H87" s="360">
        <f t="shared" si="6"/>
        <v>0</v>
      </c>
    </row>
    <row r="88" spans="1:8" ht="12.75">
      <c r="A88" s="57"/>
      <c r="B88" s="57"/>
      <c r="C88" s="57"/>
      <c r="D88" s="57"/>
      <c r="E88" s="57"/>
      <c r="F88" s="57"/>
      <c r="G88" s="57"/>
      <c r="H88" s="57"/>
    </row>
    <row r="89" spans="1:8" ht="12.75">
      <c r="A89" s="57"/>
      <c r="B89" s="57"/>
      <c r="C89" s="57"/>
      <c r="D89" s="57"/>
      <c r="E89" s="57"/>
      <c r="F89" s="57"/>
      <c r="G89" s="57"/>
      <c r="H89" s="57"/>
    </row>
    <row r="90" spans="1:8" ht="12.75">
      <c r="A90" s="162" t="s">
        <v>388</v>
      </c>
      <c r="B90" s="57"/>
      <c r="C90" s="57"/>
      <c r="D90" s="57"/>
      <c r="E90" s="57"/>
      <c r="F90" s="57"/>
      <c r="G90" s="57"/>
      <c r="H90" s="57"/>
    </row>
    <row r="91" spans="1:8" ht="12.75">
      <c r="A91" s="162" t="s">
        <v>389</v>
      </c>
      <c r="B91" s="57"/>
      <c r="C91" s="57"/>
      <c r="D91" s="57"/>
      <c r="E91" s="57"/>
      <c r="F91" s="57"/>
      <c r="G91" s="57"/>
      <c r="H91" s="57"/>
    </row>
  </sheetData>
  <sheetProtection/>
  <mergeCells count="6">
    <mergeCell ref="A72:B72"/>
    <mergeCell ref="A87:B87"/>
    <mergeCell ref="A4:H4"/>
    <mergeCell ref="A33:B33"/>
    <mergeCell ref="A36:B36"/>
    <mergeCell ref="A54:B54"/>
  </mergeCells>
  <printOptions horizontalCentered="1"/>
  <pageMargins left="0.75" right="0.75" top="0.3937007874015748" bottom="0.3937007874015748" header="0.5118110236220472" footer="0.3937007874015748"/>
  <pageSetup fitToHeight="1" fitToWidth="1" horizontalDpi="600" verticalDpi="600" orientation="portrait" paperSize="9" scale="6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5" sqref="H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lha1">
    <pageSetUpPr fitToPage="1"/>
  </sheetPr>
  <dimension ref="B1:C49"/>
  <sheetViews>
    <sheetView showGridLines="0" zoomScalePageLayoutView="0" workbookViewId="0" topLeftCell="A34">
      <selection activeCell="C23" sqref="C23"/>
    </sheetView>
  </sheetViews>
  <sheetFormatPr defaultColWidth="9.140625" defaultRowHeight="12.75"/>
  <cols>
    <col min="1" max="1" width="3.7109375" style="11" customWidth="1"/>
    <col min="2" max="2" width="9.140625" style="11" customWidth="1"/>
    <col min="3" max="3" width="92.00390625" style="11" customWidth="1"/>
    <col min="4" max="16384" width="9.140625" style="11" customWidth="1"/>
  </cols>
  <sheetData>
    <row r="1" spans="2:3" ht="12.75">
      <c r="B1" s="10"/>
      <c r="C1" s="476" t="s">
        <v>454</v>
      </c>
    </row>
    <row r="2" spans="2:3" ht="12.75">
      <c r="B2" s="10"/>
      <c r="C2" s="477"/>
    </row>
    <row r="3" spans="2:3" ht="12.75">
      <c r="B3" s="10"/>
      <c r="C3" s="477"/>
    </row>
    <row r="4" spans="2:3" ht="15.75">
      <c r="B4" s="479" t="s">
        <v>187</v>
      </c>
      <c r="C4" s="479"/>
    </row>
    <row r="5" spans="2:3" ht="13.5">
      <c r="B5" s="10"/>
      <c r="C5" s="10"/>
    </row>
    <row r="6" spans="2:3" ht="15" customHeight="1">
      <c r="B6" s="481" t="s">
        <v>237</v>
      </c>
      <c r="C6" s="481"/>
    </row>
    <row r="7" spans="2:3" ht="19.5" customHeight="1">
      <c r="B7" s="481"/>
      <c r="C7" s="481"/>
    </row>
    <row r="8" spans="2:3" ht="28.5" customHeight="1">
      <c r="B8" s="481"/>
      <c r="C8" s="481"/>
    </row>
    <row r="9" spans="2:3" ht="13.5">
      <c r="B9" s="10"/>
      <c r="C9" s="10"/>
    </row>
    <row r="10" spans="2:3" ht="13.5">
      <c r="B10" s="12" t="s">
        <v>137</v>
      </c>
      <c r="C10" s="10"/>
    </row>
    <row r="11" spans="2:3" ht="6.75" customHeight="1">
      <c r="B11" s="12"/>
      <c r="C11" s="10"/>
    </row>
    <row r="12" spans="2:3" ht="12.75">
      <c r="B12" s="480" t="s">
        <v>136</v>
      </c>
      <c r="C12" s="480"/>
    </row>
    <row r="13" spans="2:3" ht="12.75">
      <c r="B13" s="480" t="s">
        <v>186</v>
      </c>
      <c r="C13" s="480"/>
    </row>
    <row r="14" spans="2:3" ht="12.75" customHeight="1">
      <c r="B14" s="478" t="s">
        <v>172</v>
      </c>
      <c r="C14" s="478"/>
    </row>
    <row r="15" spans="2:3" ht="12.75" customHeight="1">
      <c r="B15" s="478" t="s">
        <v>170</v>
      </c>
      <c r="C15" s="478"/>
    </row>
    <row r="16" spans="2:3" ht="13.5">
      <c r="B16" s="13"/>
      <c r="C16" s="14"/>
    </row>
    <row r="17" spans="2:3" ht="13.5">
      <c r="B17" s="9" t="s">
        <v>135</v>
      </c>
      <c r="C17" s="14"/>
    </row>
    <row r="18" spans="2:3" ht="9" customHeight="1">
      <c r="B18" s="9"/>
      <c r="C18" s="14"/>
    </row>
    <row r="19" spans="2:3" ht="40.5" customHeight="1">
      <c r="B19" s="17">
        <v>1</v>
      </c>
      <c r="C19" s="15" t="s">
        <v>240</v>
      </c>
    </row>
    <row r="20" spans="2:3" ht="9" customHeight="1">
      <c r="B20" s="9"/>
      <c r="C20" s="14"/>
    </row>
    <row r="21" spans="2:3" ht="31.5" customHeight="1">
      <c r="B21" s="17">
        <v>2</v>
      </c>
      <c r="C21" s="15" t="s">
        <v>213</v>
      </c>
    </row>
    <row r="22" spans="2:3" ht="9" customHeight="1">
      <c r="B22" s="9"/>
      <c r="C22" s="14"/>
    </row>
    <row r="23" spans="2:3" ht="40.5" customHeight="1">
      <c r="B23" s="17">
        <v>3</v>
      </c>
      <c r="C23" s="15" t="s">
        <v>241</v>
      </c>
    </row>
    <row r="24" spans="2:3" ht="9" customHeight="1">
      <c r="B24" s="9"/>
      <c r="C24" s="14"/>
    </row>
    <row r="25" spans="2:3" ht="25.5" customHeight="1">
      <c r="B25" s="17">
        <v>4</v>
      </c>
      <c r="C25" s="15" t="s">
        <v>138</v>
      </c>
    </row>
    <row r="26" spans="2:3" ht="9" customHeight="1">
      <c r="B26" s="9"/>
      <c r="C26" s="14"/>
    </row>
    <row r="27" spans="2:3" ht="25.5" customHeight="1">
      <c r="B27" s="17">
        <v>5</v>
      </c>
      <c r="C27" s="15" t="s">
        <v>139</v>
      </c>
    </row>
    <row r="28" spans="2:3" ht="9" customHeight="1">
      <c r="B28" s="9"/>
      <c r="C28" s="14"/>
    </row>
    <row r="29" spans="2:3" ht="25.5" customHeight="1">
      <c r="B29" s="17">
        <v>6</v>
      </c>
      <c r="C29" s="15" t="s">
        <v>322</v>
      </c>
    </row>
    <row r="30" spans="2:3" ht="9" customHeight="1">
      <c r="B30" s="9"/>
      <c r="C30" s="14"/>
    </row>
    <row r="31" spans="2:3" ht="25.5" customHeight="1">
      <c r="B31" s="17">
        <v>7</v>
      </c>
      <c r="C31" s="15" t="s">
        <v>140</v>
      </c>
    </row>
    <row r="32" spans="2:3" ht="9" customHeight="1">
      <c r="B32" s="9"/>
      <c r="C32" s="14"/>
    </row>
    <row r="33" spans="2:3" ht="25.5" customHeight="1">
      <c r="B33" s="17">
        <v>8</v>
      </c>
      <c r="C33" s="15" t="s">
        <v>188</v>
      </c>
    </row>
    <row r="34" spans="2:3" ht="9" customHeight="1">
      <c r="B34" s="9"/>
      <c r="C34" s="14"/>
    </row>
    <row r="35" spans="2:3" ht="40.5" customHeight="1">
      <c r="B35" s="17">
        <v>9</v>
      </c>
      <c r="C35" s="16" t="s">
        <v>242</v>
      </c>
    </row>
    <row r="36" spans="2:3" ht="9" customHeight="1">
      <c r="B36" s="9"/>
      <c r="C36" s="14"/>
    </row>
    <row r="37" spans="2:3" ht="25.5" customHeight="1">
      <c r="B37" s="17">
        <v>10</v>
      </c>
      <c r="C37" s="15" t="s">
        <v>239</v>
      </c>
    </row>
    <row r="38" spans="2:3" ht="9" customHeight="1">
      <c r="B38" s="9"/>
      <c r="C38" s="14"/>
    </row>
    <row r="39" spans="2:3" ht="57" customHeight="1">
      <c r="B39" s="17">
        <v>11</v>
      </c>
      <c r="C39" s="16" t="s">
        <v>441</v>
      </c>
    </row>
    <row r="40" spans="2:3" ht="9" customHeight="1">
      <c r="B40" s="9"/>
      <c r="C40" s="14"/>
    </row>
    <row r="41" spans="2:3" ht="25.5" customHeight="1">
      <c r="B41" s="17">
        <v>12</v>
      </c>
      <c r="C41" s="15" t="s">
        <v>442</v>
      </c>
    </row>
    <row r="42" spans="2:3" ht="9" customHeight="1">
      <c r="B42" s="9"/>
      <c r="C42" s="14"/>
    </row>
    <row r="43" spans="2:3" ht="63.75">
      <c r="B43" s="17">
        <v>13</v>
      </c>
      <c r="C43" s="16" t="s">
        <v>447</v>
      </c>
    </row>
    <row r="44" spans="2:3" ht="9" customHeight="1">
      <c r="B44" s="9"/>
      <c r="C44" s="14"/>
    </row>
    <row r="45" spans="2:3" ht="12.75">
      <c r="B45" s="17">
        <v>14</v>
      </c>
      <c r="C45" s="16" t="s">
        <v>450</v>
      </c>
    </row>
    <row r="46" spans="2:3" ht="9" customHeight="1">
      <c r="B46" s="9"/>
      <c r="C46" s="14"/>
    </row>
    <row r="47" spans="2:3" ht="25.5">
      <c r="B47" s="17">
        <v>15</v>
      </c>
      <c r="C47" s="16" t="s">
        <v>448</v>
      </c>
    </row>
    <row r="48" spans="2:3" ht="9" customHeight="1">
      <c r="B48" s="9"/>
      <c r="C48" s="14"/>
    </row>
    <row r="49" spans="2:3" ht="25.5">
      <c r="B49" s="17" t="s">
        <v>395</v>
      </c>
      <c r="C49" s="16" t="s">
        <v>396</v>
      </c>
    </row>
  </sheetData>
  <sheetProtection password="8318" sheet="1" objects="1" scenarios="1"/>
  <mergeCells count="7">
    <mergeCell ref="C1:C3"/>
    <mergeCell ref="B14:C14"/>
    <mergeCell ref="B15:C15"/>
    <mergeCell ref="B4:C4"/>
    <mergeCell ref="B12:C12"/>
    <mergeCell ref="B13:C13"/>
    <mergeCell ref="B6:C8"/>
  </mergeCells>
  <printOptions horizontalCentered="1"/>
  <pageMargins left="0.75" right="0.75" top="0.5905511811023623" bottom="0.5905511811023623" header="0.5118110236220472" footer="0.5118110236220472"/>
  <pageSetup fitToHeight="1" fitToWidth="1" horizontalDpi="600" verticalDpi="600" orientation="portrait" paperSize="9" scale="94" r:id="rId2"/>
  <headerFooter alignWithMargins="0">
    <oddFooter>&amp;C&amp;"Arial,Normal"&amp;8IAPMEI&amp;R&amp;"Arial,Normal"&amp;8&amp;P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60"/>
  <sheetViews>
    <sheetView showGridLines="0" zoomScalePageLayoutView="0" workbookViewId="0" topLeftCell="A25">
      <selection activeCell="G47" sqref="G47"/>
    </sheetView>
  </sheetViews>
  <sheetFormatPr defaultColWidth="8.7109375" defaultRowHeight="12.75"/>
  <cols>
    <col min="1" max="1" width="34.28125" style="18" bestFit="1" customWidth="1"/>
    <col min="2" max="2" width="11.8515625" style="18" customWidth="1"/>
    <col min="3" max="3" width="15.7109375" style="18" customWidth="1"/>
    <col min="4" max="4" width="16.421875" style="18" customWidth="1"/>
    <col min="5" max="5" width="13.7109375" style="18" customWidth="1"/>
    <col min="6" max="16384" width="8.7109375" style="18" customWidth="1"/>
  </cols>
  <sheetData>
    <row r="1" spans="1:5" ht="12.75">
      <c r="A1" s="22"/>
      <c r="B1" s="23"/>
      <c r="C1" s="23"/>
      <c r="D1" s="29" t="s">
        <v>63</v>
      </c>
      <c r="E1" s="274" t="s">
        <v>443</v>
      </c>
    </row>
    <row r="2" spans="1:5" ht="12.75">
      <c r="A2" s="5"/>
      <c r="B2" s="5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5.75">
      <c r="A4" s="482" t="s">
        <v>8</v>
      </c>
      <c r="B4" s="482"/>
      <c r="C4" s="482"/>
      <c r="D4" s="482"/>
      <c r="E4" s="482"/>
    </row>
    <row r="5" spans="1:5" ht="12.75">
      <c r="A5" s="5"/>
      <c r="B5" s="5"/>
      <c r="C5" s="5"/>
      <c r="D5" s="5"/>
      <c r="E5" s="1"/>
    </row>
    <row r="6" spans="1:5" ht="15.75">
      <c r="A6" s="486" t="s">
        <v>214</v>
      </c>
      <c r="B6" s="486"/>
      <c r="C6" s="486"/>
      <c r="D6" s="486"/>
      <c r="E6" s="486"/>
    </row>
    <row r="7" spans="1:5" ht="12.75">
      <c r="A7" s="5"/>
      <c r="B7" s="5"/>
      <c r="C7" s="5"/>
      <c r="D7" s="5"/>
      <c r="E7" s="1"/>
    </row>
    <row r="8" spans="1:5" ht="12.75">
      <c r="A8" s="5"/>
      <c r="B8" s="5"/>
      <c r="C8" s="24"/>
      <c r="D8" s="25"/>
      <c r="E8" s="26"/>
    </row>
    <row r="9" spans="1:5" ht="12.75">
      <c r="A9" s="6" t="s">
        <v>54</v>
      </c>
      <c r="B9" s="424" t="s">
        <v>212</v>
      </c>
      <c r="C9" s="24"/>
      <c r="D9" s="25"/>
      <c r="E9" s="26"/>
    </row>
    <row r="10" spans="1:5" ht="12.75">
      <c r="A10" s="2"/>
      <c r="B10" s="425"/>
      <c r="C10" s="24"/>
      <c r="D10" s="25"/>
      <c r="E10" s="26"/>
    </row>
    <row r="11" spans="1:5" ht="12.75">
      <c r="A11" s="6" t="s">
        <v>421</v>
      </c>
      <c r="B11" s="426">
        <v>2016</v>
      </c>
      <c r="C11" s="407" t="s">
        <v>430</v>
      </c>
      <c r="D11" s="25"/>
      <c r="E11" s="26"/>
    </row>
    <row r="12" spans="1:5" ht="12.75">
      <c r="A12" s="2"/>
      <c r="B12" s="425"/>
      <c r="C12" s="458" t="s">
        <v>460</v>
      </c>
      <c r="D12" s="25"/>
      <c r="E12" s="26"/>
    </row>
    <row r="13" spans="1:5" ht="12.75">
      <c r="A13" s="6" t="s">
        <v>174</v>
      </c>
      <c r="B13" s="426">
        <v>30</v>
      </c>
      <c r="C13" s="408">
        <f>+B13/30</f>
        <v>1</v>
      </c>
      <c r="D13" s="498" t="s">
        <v>434</v>
      </c>
      <c r="E13" s="26"/>
    </row>
    <row r="14" spans="1:5" ht="12.75">
      <c r="A14" s="6" t="s">
        <v>175</v>
      </c>
      <c r="B14" s="427">
        <v>30</v>
      </c>
      <c r="C14" s="408">
        <f>+B14/30</f>
        <v>1</v>
      </c>
      <c r="D14" s="498"/>
      <c r="E14" s="26"/>
    </row>
    <row r="15" spans="1:5" ht="12.75">
      <c r="A15" s="6" t="s">
        <v>176</v>
      </c>
      <c r="B15" s="427">
        <v>15</v>
      </c>
      <c r="C15" s="408">
        <f>+B15/30</f>
        <v>0.5</v>
      </c>
      <c r="D15" s="498"/>
      <c r="E15" s="26"/>
    </row>
    <row r="16" spans="1:5" ht="12.75">
      <c r="A16" s="6" t="s">
        <v>462</v>
      </c>
      <c r="B16" s="461"/>
      <c r="C16" s="459">
        <v>4</v>
      </c>
      <c r="D16" s="460" t="s">
        <v>461</v>
      </c>
      <c r="E16" s="26"/>
    </row>
    <row r="17" spans="1:5" ht="12.75">
      <c r="A17" s="2"/>
      <c r="B17" s="425"/>
      <c r="C17" s="24"/>
      <c r="D17" s="25"/>
      <c r="E17" s="26"/>
    </row>
    <row r="18" spans="1:5" ht="12.75">
      <c r="A18" s="6" t="s">
        <v>178</v>
      </c>
      <c r="B18" s="428">
        <v>0.23</v>
      </c>
      <c r="C18" s="497" t="s">
        <v>433</v>
      </c>
      <c r="D18" s="27"/>
      <c r="E18" s="28"/>
    </row>
    <row r="19" spans="1:5" ht="12.75">
      <c r="A19" s="6" t="s">
        <v>179</v>
      </c>
      <c r="B19" s="428">
        <v>0.23</v>
      </c>
      <c r="C19" s="497"/>
      <c r="D19" s="27"/>
      <c r="E19" s="28"/>
    </row>
    <row r="20" spans="1:5" ht="12.75">
      <c r="A20" s="6" t="s">
        <v>107</v>
      </c>
      <c r="B20" s="428">
        <v>0.23</v>
      </c>
      <c r="C20" s="497"/>
      <c r="D20" s="27"/>
      <c r="E20" s="28"/>
    </row>
    <row r="21" spans="1:5" ht="12.75">
      <c r="A21" s="6" t="s">
        <v>108</v>
      </c>
      <c r="B21" s="428">
        <v>0.23</v>
      </c>
      <c r="C21" s="497"/>
      <c r="D21" s="27"/>
      <c r="E21" s="28"/>
    </row>
    <row r="22" spans="1:5" ht="12.75">
      <c r="A22" s="6" t="s">
        <v>243</v>
      </c>
      <c r="B22" s="428">
        <v>0.23</v>
      </c>
      <c r="C22" s="497"/>
      <c r="D22" s="27"/>
      <c r="E22" s="28"/>
    </row>
    <row r="23" spans="1:5" ht="12.75">
      <c r="A23" s="2"/>
      <c r="B23" s="425"/>
      <c r="C23" s="24"/>
      <c r="D23" s="25"/>
      <c r="E23" s="26"/>
    </row>
    <row r="24" spans="1:5" ht="12.75">
      <c r="A24" s="6" t="s">
        <v>366</v>
      </c>
      <c r="B24" s="428">
        <v>0.2375</v>
      </c>
      <c r="C24" s="496" t="s">
        <v>458</v>
      </c>
      <c r="D24" s="25"/>
      <c r="E24" s="26"/>
    </row>
    <row r="25" spans="1:5" ht="12.75">
      <c r="A25" s="6" t="s">
        <v>367</v>
      </c>
      <c r="B25" s="428">
        <v>0.2375</v>
      </c>
      <c r="C25" s="496"/>
      <c r="D25" s="25"/>
      <c r="E25" s="26"/>
    </row>
    <row r="26" spans="1:5" ht="12.75">
      <c r="A26" s="6" t="s">
        <v>368</v>
      </c>
      <c r="B26" s="428">
        <v>0.11</v>
      </c>
      <c r="C26" s="496"/>
      <c r="D26" s="25"/>
      <c r="E26" s="26"/>
    </row>
    <row r="27" spans="1:5" ht="12.75">
      <c r="A27" s="6" t="s">
        <v>369</v>
      </c>
      <c r="B27" s="428">
        <v>0.11</v>
      </c>
      <c r="C27" s="496"/>
      <c r="D27" s="25"/>
      <c r="E27" s="26"/>
    </row>
    <row r="28" spans="1:5" ht="12.75">
      <c r="A28" s="6" t="s">
        <v>86</v>
      </c>
      <c r="B28" s="429">
        <v>0.15</v>
      </c>
      <c r="C28" s="407" t="s">
        <v>432</v>
      </c>
      <c r="D28" s="25"/>
      <c r="E28" s="26"/>
    </row>
    <row r="29" spans="1:5" ht="13.5" customHeight="1">
      <c r="A29" s="6" t="s">
        <v>90</v>
      </c>
      <c r="B29" s="428">
        <v>0.25</v>
      </c>
      <c r="C29" s="407" t="s">
        <v>431</v>
      </c>
      <c r="D29" s="25"/>
      <c r="E29" s="26"/>
    </row>
    <row r="30" spans="1:5" ht="12.75">
      <c r="A30" s="2"/>
      <c r="B30" s="425"/>
      <c r="C30" s="24"/>
      <c r="D30" s="25"/>
      <c r="E30" s="26"/>
    </row>
    <row r="31" spans="1:5" ht="12.75">
      <c r="A31" s="6" t="s">
        <v>235</v>
      </c>
      <c r="B31" s="428">
        <v>0.02</v>
      </c>
      <c r="C31" s="499" t="s">
        <v>435</v>
      </c>
      <c r="D31" s="25"/>
      <c r="E31" s="26"/>
    </row>
    <row r="32" spans="1:5" ht="12.75">
      <c r="A32" s="6" t="s">
        <v>143</v>
      </c>
      <c r="B32" s="428">
        <v>0.04</v>
      </c>
      <c r="C32" s="499"/>
      <c r="D32" s="25"/>
      <c r="E32" s="26"/>
    </row>
    <row r="33" spans="1:5" ht="12.75">
      <c r="A33" s="6" t="s">
        <v>246</v>
      </c>
      <c r="B33" s="428">
        <v>0.05</v>
      </c>
      <c r="C33" s="499"/>
      <c r="D33" s="25"/>
      <c r="E33" s="26"/>
    </row>
    <row r="34" spans="1:5" ht="12.75">
      <c r="A34" s="5"/>
      <c r="B34" s="430"/>
      <c r="C34" s="24"/>
      <c r="D34" s="25"/>
      <c r="E34" s="26"/>
    </row>
    <row r="35" spans="1:5" ht="12.75">
      <c r="A35" s="6" t="s">
        <v>422</v>
      </c>
      <c r="B35" s="431">
        <v>0.0025</v>
      </c>
      <c r="C35" s="483" t="s">
        <v>437</v>
      </c>
      <c r="D35" s="484"/>
      <c r="E35" s="485"/>
    </row>
    <row r="36" spans="1:5" ht="12.75">
      <c r="A36" s="6" t="s">
        <v>428</v>
      </c>
      <c r="B36" s="431">
        <v>0.05</v>
      </c>
      <c r="C36" s="483" t="s">
        <v>438</v>
      </c>
      <c r="D36" s="484"/>
      <c r="E36" s="485"/>
    </row>
    <row r="37" spans="1:5" ht="12.75">
      <c r="A37" s="6" t="s">
        <v>414</v>
      </c>
      <c r="B37" s="431">
        <v>1</v>
      </c>
      <c r="C37" s="483" t="s">
        <v>436</v>
      </c>
      <c r="D37" s="484"/>
      <c r="E37" s="485"/>
    </row>
    <row r="38" spans="1:5" ht="9.75" customHeight="1">
      <c r="A38" s="6" t="s">
        <v>189</v>
      </c>
      <c r="B38" s="432">
        <v>0.0001</v>
      </c>
      <c r="C38" s="487" t="s">
        <v>429</v>
      </c>
      <c r="D38" s="488"/>
      <c r="E38" s="489"/>
    </row>
    <row r="39" spans="1:5" ht="12.75">
      <c r="A39" s="5" t="s">
        <v>423</v>
      </c>
      <c r="B39" s="5"/>
      <c r="C39" s="490"/>
      <c r="D39" s="491"/>
      <c r="E39" s="492"/>
    </row>
    <row r="40" spans="1:5" ht="12.75">
      <c r="A40" s="5"/>
      <c r="B40" s="5"/>
      <c r="C40" s="493"/>
      <c r="D40" s="494"/>
      <c r="E40" s="495"/>
    </row>
    <row r="41" spans="1:5" ht="12.75">
      <c r="A41" s="8" t="s">
        <v>236</v>
      </c>
      <c r="B41" s="5"/>
      <c r="C41" s="24"/>
      <c r="D41" s="25"/>
      <c r="E41" s="26"/>
    </row>
    <row r="42" spans="1:5" ht="12.75">
      <c r="A42" s="5"/>
      <c r="B42" s="5"/>
      <c r="C42" s="24"/>
      <c r="D42" s="25"/>
      <c r="E42" s="26"/>
    </row>
    <row r="43" spans="1:5" ht="12.75">
      <c r="A43" s="4" t="s">
        <v>130</v>
      </c>
      <c r="B43" s="425"/>
      <c r="C43" s="45"/>
      <c r="D43" s="27"/>
      <c r="E43" s="28"/>
    </row>
    <row r="44" spans="1:5" ht="18.75" customHeight="1">
      <c r="A44" s="500" t="s">
        <v>455</v>
      </c>
      <c r="B44" s="500"/>
      <c r="C44" s="500"/>
      <c r="D44" s="500"/>
      <c r="E44" s="500"/>
    </row>
    <row r="45" spans="1:5" ht="18.75" customHeight="1">
      <c r="A45" s="500"/>
      <c r="B45" s="500"/>
      <c r="C45" s="500"/>
      <c r="D45" s="500"/>
      <c r="E45" s="500"/>
    </row>
    <row r="46" spans="1:5" ht="15" customHeight="1">
      <c r="A46" s="500"/>
      <c r="B46" s="500"/>
      <c r="C46" s="500"/>
      <c r="D46" s="500"/>
      <c r="E46" s="500"/>
    </row>
    <row r="47" spans="1:5" ht="16.5" customHeight="1">
      <c r="A47" s="500"/>
      <c r="B47" s="500"/>
      <c r="C47" s="500"/>
      <c r="D47" s="500"/>
      <c r="E47" s="500"/>
    </row>
    <row r="48" spans="1:5" ht="17.25" customHeight="1">
      <c r="A48" s="500"/>
      <c r="B48" s="500"/>
      <c r="C48" s="500"/>
      <c r="D48" s="500"/>
      <c r="E48" s="500"/>
    </row>
    <row r="49" spans="1:5" ht="12.75">
      <c r="A49" s="457"/>
      <c r="B49" s="457"/>
      <c r="C49" s="457"/>
      <c r="D49" s="457"/>
      <c r="E49" s="457"/>
    </row>
    <row r="50" spans="1:5" ht="9.75" customHeight="1">
      <c r="A50" s="4" t="s">
        <v>456</v>
      </c>
      <c r="B50" s="425"/>
      <c r="C50" s="45"/>
      <c r="D50" s="27"/>
      <c r="E50" s="28"/>
    </row>
    <row r="51" spans="1:5" ht="12.75">
      <c r="A51" s="500" t="s">
        <v>457</v>
      </c>
      <c r="B51" s="500"/>
      <c r="C51" s="500"/>
      <c r="D51" s="500"/>
      <c r="E51" s="500"/>
    </row>
    <row r="52" spans="1:5" ht="12.75">
      <c r="A52" s="500"/>
      <c r="B52" s="500"/>
      <c r="C52" s="500"/>
      <c r="D52" s="500"/>
      <c r="E52" s="500"/>
    </row>
    <row r="53" spans="1:18" ht="12.75">
      <c r="A53" s="500"/>
      <c r="B53" s="500"/>
      <c r="C53" s="500"/>
      <c r="D53" s="500"/>
      <c r="E53" s="500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1:18" ht="12.75">
      <c r="A54" s="500"/>
      <c r="B54" s="500"/>
      <c r="C54" s="500"/>
      <c r="D54" s="500"/>
      <c r="E54" s="500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1:18" ht="12.75">
      <c r="A55" s="500"/>
      <c r="B55" s="500"/>
      <c r="C55" s="500"/>
      <c r="D55" s="500"/>
      <c r="E55" s="500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</row>
    <row r="56" spans="1:18" ht="12.75">
      <c r="A56" s="19"/>
      <c r="B56" s="19"/>
      <c r="C56" s="19"/>
      <c r="D56" s="21"/>
      <c r="E56" s="19"/>
      <c r="F56" s="20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</row>
    <row r="57" spans="1:18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</row>
    <row r="58" spans="1:18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</row>
    <row r="59" spans="1:18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</row>
    <row r="60" spans="1:18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</row>
  </sheetData>
  <sheetProtection password="8318" sheet="1"/>
  <mergeCells count="12">
    <mergeCell ref="A44:E48"/>
    <mergeCell ref="A51:E55"/>
    <mergeCell ref="A4:E4"/>
    <mergeCell ref="C35:E35"/>
    <mergeCell ref="C36:E36"/>
    <mergeCell ref="A6:E6"/>
    <mergeCell ref="C38:E40"/>
    <mergeCell ref="C24:C27"/>
    <mergeCell ref="C18:C22"/>
    <mergeCell ref="D13:D15"/>
    <mergeCell ref="C31:C33"/>
    <mergeCell ref="C37:E37"/>
  </mergeCells>
  <printOptions horizontalCentered="1"/>
  <pageMargins left="0.75" right="0.75" top="0.3937007874015748" bottom="0.3937007874015748" header="0.5118110236220472" footer="0.5118110236220472"/>
  <pageSetup fitToHeight="1" fitToWidth="1" horizontalDpi="300" verticalDpi="300" orientation="portrait" paperSize="9" r:id="rId2"/>
  <headerFooter alignWithMargins="0">
    <oddFooter>&amp;C&amp;"Arial,Normal"&amp;8IAPMEI&amp;R&amp;"Arial,Normal"&amp;8&amp;N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O203"/>
  <sheetViews>
    <sheetView showGridLines="0" zoomScalePageLayoutView="0" workbookViewId="0" topLeftCell="A1">
      <selection activeCell="O13" sqref="O13"/>
    </sheetView>
  </sheetViews>
  <sheetFormatPr defaultColWidth="8.7109375" defaultRowHeight="12.75"/>
  <cols>
    <col min="1" max="1" width="29.57421875" style="50" customWidth="1"/>
    <col min="2" max="2" width="5.7109375" style="50" customWidth="1"/>
    <col min="3" max="3" width="8.7109375" style="50" bestFit="1" customWidth="1"/>
    <col min="4" max="4" width="9.421875" style="50" customWidth="1"/>
    <col min="5" max="13" width="8.7109375" style="50" bestFit="1" customWidth="1"/>
    <col min="14" max="19" width="11.421875" style="50" customWidth="1"/>
    <col min="20" max="16384" width="8.7109375" style="50" customWidth="1"/>
  </cols>
  <sheetData>
    <row r="1" spans="1:13" ht="13.5">
      <c r="A1" s="46"/>
      <c r="B1" s="46"/>
      <c r="C1" s="47"/>
      <c r="D1" s="47"/>
      <c r="E1" s="47"/>
      <c r="F1" s="47"/>
      <c r="G1" s="47"/>
      <c r="H1" s="47"/>
      <c r="I1" s="47"/>
      <c r="J1" s="47"/>
      <c r="K1" s="47"/>
      <c r="L1" s="48" t="s">
        <v>63</v>
      </c>
      <c r="M1" s="49" t="str">
        <f>+Pressupostos!E1</f>
        <v>XPTO SA</v>
      </c>
    </row>
    <row r="2" spans="1:13" ht="13.5">
      <c r="A2" s="51" t="s">
        <v>177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52" t="str">
        <f>+Pressupostos!B9</f>
        <v>Euros</v>
      </c>
    </row>
    <row r="3" spans="1:13" ht="13.5">
      <c r="A3" s="51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52"/>
    </row>
    <row r="4" spans="1:13" ht="15.75">
      <c r="A4" s="508" t="s">
        <v>265</v>
      </c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</row>
    <row r="5" spans="1:13" ht="13.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ht="13.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13" ht="13.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3" ht="13.5">
      <c r="A8" s="513"/>
      <c r="B8" s="513"/>
      <c r="C8" s="54">
        <f>+Pressupostos!B11</f>
        <v>2016</v>
      </c>
      <c r="D8" s="54">
        <f>+C8+1</f>
        <v>2017</v>
      </c>
      <c r="E8" s="54">
        <f aca="true" t="shared" si="0" ref="E8:M8">+D8+1</f>
        <v>2018</v>
      </c>
      <c r="F8" s="54">
        <f t="shared" si="0"/>
        <v>2019</v>
      </c>
      <c r="G8" s="54">
        <f t="shared" si="0"/>
        <v>2020</v>
      </c>
      <c r="H8" s="54">
        <f t="shared" si="0"/>
        <v>2021</v>
      </c>
      <c r="I8" s="54">
        <f t="shared" si="0"/>
        <v>2022</v>
      </c>
      <c r="J8" s="54">
        <f t="shared" si="0"/>
        <v>2023</v>
      </c>
      <c r="K8" s="54">
        <f t="shared" si="0"/>
        <v>2024</v>
      </c>
      <c r="L8" s="54">
        <f t="shared" si="0"/>
        <v>2025</v>
      </c>
      <c r="M8" s="54">
        <f t="shared" si="0"/>
        <v>2026</v>
      </c>
    </row>
    <row r="9" spans="1:13" ht="13.5">
      <c r="A9" s="55" t="s">
        <v>149</v>
      </c>
      <c r="B9" s="56"/>
      <c r="C9" s="35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ht="13.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1:13" ht="13.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ht="13.5">
      <c r="A12" s="511" t="s">
        <v>180</v>
      </c>
      <c r="B12" s="512"/>
      <c r="C12" s="54">
        <f aca="true" t="shared" si="1" ref="C12:M12">+C8</f>
        <v>2016</v>
      </c>
      <c r="D12" s="54">
        <f t="shared" si="1"/>
        <v>2017</v>
      </c>
      <c r="E12" s="54">
        <f t="shared" si="1"/>
        <v>2018</v>
      </c>
      <c r="F12" s="54">
        <f t="shared" si="1"/>
        <v>2019</v>
      </c>
      <c r="G12" s="54">
        <f t="shared" si="1"/>
        <v>2020</v>
      </c>
      <c r="H12" s="54">
        <f t="shared" si="1"/>
        <v>2021</v>
      </c>
      <c r="I12" s="54">
        <f t="shared" si="1"/>
        <v>2022</v>
      </c>
      <c r="J12" s="54">
        <f t="shared" si="1"/>
        <v>2023</v>
      </c>
      <c r="K12" s="54">
        <f t="shared" si="1"/>
        <v>2024</v>
      </c>
      <c r="L12" s="54">
        <f t="shared" si="1"/>
        <v>2025</v>
      </c>
      <c r="M12" s="54">
        <f t="shared" si="1"/>
        <v>2026</v>
      </c>
    </row>
    <row r="13" spans="1:13" ht="13.5">
      <c r="A13" s="503" t="s">
        <v>145</v>
      </c>
      <c r="B13" s="504"/>
      <c r="C13" s="277">
        <f>+C16*C14</f>
        <v>0</v>
      </c>
      <c r="D13" s="277">
        <f>+D16*D14</f>
        <v>0</v>
      </c>
      <c r="E13" s="277">
        <f aca="true" t="shared" si="2" ref="E13:M13">+E16*E14</f>
        <v>0</v>
      </c>
      <c r="F13" s="277">
        <f t="shared" si="2"/>
        <v>0</v>
      </c>
      <c r="G13" s="277">
        <f t="shared" si="2"/>
        <v>0</v>
      </c>
      <c r="H13" s="277">
        <f t="shared" si="2"/>
        <v>0</v>
      </c>
      <c r="I13" s="277">
        <f t="shared" si="2"/>
        <v>0</v>
      </c>
      <c r="J13" s="277">
        <f t="shared" si="2"/>
        <v>0</v>
      </c>
      <c r="K13" s="277">
        <f t="shared" si="2"/>
        <v>0</v>
      </c>
      <c r="L13" s="277">
        <f t="shared" si="2"/>
        <v>0</v>
      </c>
      <c r="M13" s="277">
        <f t="shared" si="2"/>
        <v>0</v>
      </c>
    </row>
    <row r="14" spans="1:13" ht="13.5">
      <c r="A14" s="58" t="s">
        <v>4</v>
      </c>
      <c r="B14" s="59"/>
      <c r="C14" s="278"/>
      <c r="D14" s="279"/>
      <c r="E14" s="279">
        <f aca="true" t="shared" si="3" ref="E14:M14">+D14*(1+E15)</f>
        <v>0</v>
      </c>
      <c r="F14" s="279">
        <f t="shared" si="3"/>
        <v>0</v>
      </c>
      <c r="G14" s="279">
        <f t="shared" si="3"/>
        <v>0</v>
      </c>
      <c r="H14" s="279">
        <f t="shared" si="3"/>
        <v>0</v>
      </c>
      <c r="I14" s="279">
        <f t="shared" si="3"/>
        <v>0</v>
      </c>
      <c r="J14" s="279">
        <f t="shared" si="3"/>
        <v>0</v>
      </c>
      <c r="K14" s="279">
        <f t="shared" si="3"/>
        <v>0</v>
      </c>
      <c r="L14" s="279">
        <f t="shared" si="3"/>
        <v>0</v>
      </c>
      <c r="M14" s="279">
        <f t="shared" si="3"/>
        <v>0</v>
      </c>
    </row>
    <row r="15" spans="1:13" ht="13.5">
      <c r="A15" s="58" t="s">
        <v>78</v>
      </c>
      <c r="B15" s="59"/>
      <c r="C15" s="58"/>
      <c r="D15" s="281"/>
      <c r="E15" s="281"/>
      <c r="F15" s="281"/>
      <c r="G15" s="281"/>
      <c r="H15" s="281"/>
      <c r="I15" s="281"/>
      <c r="J15" s="281"/>
      <c r="K15" s="281"/>
      <c r="L15" s="281"/>
      <c r="M15" s="281"/>
    </row>
    <row r="16" spans="1:13" ht="13.5">
      <c r="A16" s="58" t="s">
        <v>5</v>
      </c>
      <c r="B16" s="59"/>
      <c r="C16" s="282"/>
      <c r="D16" s="283"/>
      <c r="E16" s="283">
        <f aca="true" t="shared" si="4" ref="E16:M16">+D16*(1+E$9)</f>
        <v>0</v>
      </c>
      <c r="F16" s="283">
        <f t="shared" si="4"/>
        <v>0</v>
      </c>
      <c r="G16" s="283">
        <f t="shared" si="4"/>
        <v>0</v>
      </c>
      <c r="H16" s="283">
        <f t="shared" si="4"/>
        <v>0</v>
      </c>
      <c r="I16" s="283">
        <f t="shared" si="4"/>
        <v>0</v>
      </c>
      <c r="J16" s="283">
        <f t="shared" si="4"/>
        <v>0</v>
      </c>
      <c r="K16" s="283">
        <f t="shared" si="4"/>
        <v>0</v>
      </c>
      <c r="L16" s="283">
        <f t="shared" si="4"/>
        <v>0</v>
      </c>
      <c r="M16" s="283">
        <f t="shared" si="4"/>
        <v>0</v>
      </c>
    </row>
    <row r="17" spans="1:13" ht="13.5">
      <c r="A17" s="503" t="s">
        <v>146</v>
      </c>
      <c r="B17" s="504"/>
      <c r="C17" s="277">
        <f aca="true" t="shared" si="5" ref="C17:M17">+C20*C18</f>
        <v>0</v>
      </c>
      <c r="D17" s="277">
        <f>+D20*D$18</f>
        <v>0</v>
      </c>
      <c r="E17" s="277">
        <f t="shared" si="5"/>
        <v>0</v>
      </c>
      <c r="F17" s="277">
        <f t="shared" si="5"/>
        <v>0</v>
      </c>
      <c r="G17" s="277">
        <f t="shared" si="5"/>
        <v>0</v>
      </c>
      <c r="H17" s="277">
        <f t="shared" si="5"/>
        <v>0</v>
      </c>
      <c r="I17" s="277">
        <f t="shared" si="5"/>
        <v>0</v>
      </c>
      <c r="J17" s="277">
        <f t="shared" si="5"/>
        <v>0</v>
      </c>
      <c r="K17" s="277">
        <f t="shared" si="5"/>
        <v>0</v>
      </c>
      <c r="L17" s="277">
        <f t="shared" si="5"/>
        <v>0</v>
      </c>
      <c r="M17" s="277">
        <f t="shared" si="5"/>
        <v>0</v>
      </c>
    </row>
    <row r="18" spans="1:13" ht="13.5">
      <c r="A18" s="58" t="s">
        <v>4</v>
      </c>
      <c r="B18" s="59"/>
      <c r="C18" s="278"/>
      <c r="D18" s="279">
        <f aca="true" t="shared" si="6" ref="D18:M18">+C18*(1+D19)</f>
        <v>0</v>
      </c>
      <c r="E18" s="279">
        <f t="shared" si="6"/>
        <v>0</v>
      </c>
      <c r="F18" s="279">
        <f t="shared" si="6"/>
        <v>0</v>
      </c>
      <c r="G18" s="279">
        <f t="shared" si="6"/>
        <v>0</v>
      </c>
      <c r="H18" s="279">
        <f t="shared" si="6"/>
        <v>0</v>
      </c>
      <c r="I18" s="279">
        <f t="shared" si="6"/>
        <v>0</v>
      </c>
      <c r="J18" s="279">
        <f t="shared" si="6"/>
        <v>0</v>
      </c>
      <c r="K18" s="279">
        <f t="shared" si="6"/>
        <v>0</v>
      </c>
      <c r="L18" s="279">
        <f t="shared" si="6"/>
        <v>0</v>
      </c>
      <c r="M18" s="279">
        <f t="shared" si="6"/>
        <v>0</v>
      </c>
    </row>
    <row r="19" spans="1:13" ht="13.5">
      <c r="A19" s="58" t="s">
        <v>78</v>
      </c>
      <c r="B19" s="59"/>
      <c r="C19" s="58"/>
      <c r="D19" s="281"/>
      <c r="E19" s="281"/>
      <c r="F19" s="281"/>
      <c r="G19" s="281"/>
      <c r="H19" s="281"/>
      <c r="I19" s="281"/>
      <c r="J19" s="281"/>
      <c r="K19" s="281"/>
      <c r="L19" s="281"/>
      <c r="M19" s="281"/>
    </row>
    <row r="20" spans="1:13" ht="13.5">
      <c r="A20" s="58" t="s">
        <v>5</v>
      </c>
      <c r="B20" s="59"/>
      <c r="C20" s="282"/>
      <c r="D20" s="283">
        <f>+C20*(1+D$9)</f>
        <v>0</v>
      </c>
      <c r="E20" s="283">
        <f aca="true" t="shared" si="7" ref="E20:M20">+D20*(1+E$9)</f>
        <v>0</v>
      </c>
      <c r="F20" s="283">
        <f t="shared" si="7"/>
        <v>0</v>
      </c>
      <c r="G20" s="283">
        <f t="shared" si="7"/>
        <v>0</v>
      </c>
      <c r="H20" s="283">
        <f t="shared" si="7"/>
        <v>0</v>
      </c>
      <c r="I20" s="283">
        <f t="shared" si="7"/>
        <v>0</v>
      </c>
      <c r="J20" s="283">
        <f t="shared" si="7"/>
        <v>0</v>
      </c>
      <c r="K20" s="283">
        <f t="shared" si="7"/>
        <v>0</v>
      </c>
      <c r="L20" s="283">
        <f t="shared" si="7"/>
        <v>0</v>
      </c>
      <c r="M20" s="283">
        <f t="shared" si="7"/>
        <v>0</v>
      </c>
    </row>
    <row r="21" spans="1:13" ht="13.5">
      <c r="A21" s="503" t="s">
        <v>147</v>
      </c>
      <c r="B21" s="504"/>
      <c r="C21" s="277">
        <f aca="true" t="shared" si="8" ref="C21:M21">+C24*C22</f>
        <v>0</v>
      </c>
      <c r="D21" s="277">
        <f t="shared" si="8"/>
        <v>0</v>
      </c>
      <c r="E21" s="277">
        <f t="shared" si="8"/>
        <v>0</v>
      </c>
      <c r="F21" s="277">
        <f t="shared" si="8"/>
        <v>0</v>
      </c>
      <c r="G21" s="277">
        <f t="shared" si="8"/>
        <v>0</v>
      </c>
      <c r="H21" s="277">
        <f t="shared" si="8"/>
        <v>0</v>
      </c>
      <c r="I21" s="277">
        <f t="shared" si="8"/>
        <v>0</v>
      </c>
      <c r="J21" s="277">
        <f t="shared" si="8"/>
        <v>0</v>
      </c>
      <c r="K21" s="277">
        <f t="shared" si="8"/>
        <v>0</v>
      </c>
      <c r="L21" s="277">
        <f t="shared" si="8"/>
        <v>0</v>
      </c>
      <c r="M21" s="277">
        <f t="shared" si="8"/>
        <v>0</v>
      </c>
    </row>
    <row r="22" spans="1:13" ht="13.5">
      <c r="A22" s="58" t="s">
        <v>4</v>
      </c>
      <c r="B22" s="59"/>
      <c r="C22" s="278"/>
      <c r="D22" s="279">
        <f aca="true" t="shared" si="9" ref="D22:M22">+C22*(1+D23)</f>
        <v>0</v>
      </c>
      <c r="E22" s="279">
        <f t="shared" si="9"/>
        <v>0</v>
      </c>
      <c r="F22" s="279">
        <f t="shared" si="9"/>
        <v>0</v>
      </c>
      <c r="G22" s="279">
        <f t="shared" si="9"/>
        <v>0</v>
      </c>
      <c r="H22" s="279">
        <f t="shared" si="9"/>
        <v>0</v>
      </c>
      <c r="I22" s="279">
        <f t="shared" si="9"/>
        <v>0</v>
      </c>
      <c r="J22" s="279">
        <f t="shared" si="9"/>
        <v>0</v>
      </c>
      <c r="K22" s="279">
        <f t="shared" si="9"/>
        <v>0</v>
      </c>
      <c r="L22" s="279">
        <f t="shared" si="9"/>
        <v>0</v>
      </c>
      <c r="M22" s="279">
        <f t="shared" si="9"/>
        <v>0</v>
      </c>
    </row>
    <row r="23" spans="1:13" ht="13.5">
      <c r="A23" s="58" t="s">
        <v>78</v>
      </c>
      <c r="B23" s="59"/>
      <c r="C23" s="58"/>
      <c r="D23" s="281"/>
      <c r="E23" s="281"/>
      <c r="F23" s="281"/>
      <c r="G23" s="281"/>
      <c r="H23" s="281"/>
      <c r="I23" s="281"/>
      <c r="J23" s="281"/>
      <c r="K23" s="281"/>
      <c r="L23" s="281"/>
      <c r="M23" s="281"/>
    </row>
    <row r="24" spans="1:13" ht="13.5">
      <c r="A24" s="58" t="s">
        <v>5</v>
      </c>
      <c r="B24" s="59"/>
      <c r="C24" s="282"/>
      <c r="D24" s="283">
        <f>+C24*(1+D$9)</f>
        <v>0</v>
      </c>
      <c r="E24" s="283">
        <f aca="true" t="shared" si="10" ref="E24:M24">+D24*(1+E$9)</f>
        <v>0</v>
      </c>
      <c r="F24" s="283">
        <f t="shared" si="10"/>
        <v>0</v>
      </c>
      <c r="G24" s="283">
        <f t="shared" si="10"/>
        <v>0</v>
      </c>
      <c r="H24" s="283">
        <f t="shared" si="10"/>
        <v>0</v>
      </c>
      <c r="I24" s="283">
        <f t="shared" si="10"/>
        <v>0</v>
      </c>
      <c r="J24" s="283">
        <f t="shared" si="10"/>
        <v>0</v>
      </c>
      <c r="K24" s="283">
        <f t="shared" si="10"/>
        <v>0</v>
      </c>
      <c r="L24" s="283">
        <f t="shared" si="10"/>
        <v>0</v>
      </c>
      <c r="M24" s="283">
        <f t="shared" si="10"/>
        <v>0</v>
      </c>
    </row>
    <row r="25" spans="1:13" ht="13.5">
      <c r="A25" s="503" t="s">
        <v>148</v>
      </c>
      <c r="B25" s="504"/>
      <c r="C25" s="277">
        <f aca="true" t="shared" si="11" ref="C25:M25">+C28*C26</f>
        <v>0</v>
      </c>
      <c r="D25" s="277">
        <f t="shared" si="11"/>
        <v>0</v>
      </c>
      <c r="E25" s="277">
        <f t="shared" si="11"/>
        <v>0</v>
      </c>
      <c r="F25" s="277">
        <f t="shared" si="11"/>
        <v>0</v>
      </c>
      <c r="G25" s="277">
        <f t="shared" si="11"/>
        <v>0</v>
      </c>
      <c r="H25" s="277">
        <f t="shared" si="11"/>
        <v>0</v>
      </c>
      <c r="I25" s="277">
        <f t="shared" si="11"/>
        <v>0</v>
      </c>
      <c r="J25" s="277">
        <f t="shared" si="11"/>
        <v>0</v>
      </c>
      <c r="K25" s="277">
        <f t="shared" si="11"/>
        <v>0</v>
      </c>
      <c r="L25" s="277">
        <f t="shared" si="11"/>
        <v>0</v>
      </c>
      <c r="M25" s="277">
        <f t="shared" si="11"/>
        <v>0</v>
      </c>
    </row>
    <row r="26" spans="1:13" ht="13.5">
      <c r="A26" s="58" t="s">
        <v>4</v>
      </c>
      <c r="B26" s="59"/>
      <c r="C26" s="278"/>
      <c r="D26" s="279">
        <f aca="true" t="shared" si="12" ref="D26:M26">+C26*(1+D27)</f>
        <v>0</v>
      </c>
      <c r="E26" s="279">
        <f t="shared" si="12"/>
        <v>0</v>
      </c>
      <c r="F26" s="279">
        <f t="shared" si="12"/>
        <v>0</v>
      </c>
      <c r="G26" s="279">
        <f t="shared" si="12"/>
        <v>0</v>
      </c>
      <c r="H26" s="279">
        <f t="shared" si="12"/>
        <v>0</v>
      </c>
      <c r="I26" s="279">
        <f t="shared" si="12"/>
        <v>0</v>
      </c>
      <c r="J26" s="279">
        <f t="shared" si="12"/>
        <v>0</v>
      </c>
      <c r="K26" s="279">
        <f t="shared" si="12"/>
        <v>0</v>
      </c>
      <c r="L26" s="279">
        <f t="shared" si="12"/>
        <v>0</v>
      </c>
      <c r="M26" s="279">
        <f t="shared" si="12"/>
        <v>0</v>
      </c>
    </row>
    <row r="27" spans="1:13" ht="13.5">
      <c r="A27" s="58" t="s">
        <v>78</v>
      </c>
      <c r="B27" s="59"/>
      <c r="C27" s="58"/>
      <c r="D27" s="281"/>
      <c r="E27" s="281"/>
      <c r="F27" s="281"/>
      <c r="G27" s="281"/>
      <c r="H27" s="281"/>
      <c r="I27" s="281"/>
      <c r="J27" s="281"/>
      <c r="K27" s="281"/>
      <c r="L27" s="281"/>
      <c r="M27" s="281"/>
    </row>
    <row r="28" spans="1:13" ht="13.5">
      <c r="A28" s="58" t="s">
        <v>5</v>
      </c>
      <c r="B28" s="59"/>
      <c r="C28" s="282"/>
      <c r="D28" s="283">
        <f>+C28*(1+D$9)</f>
        <v>0</v>
      </c>
      <c r="E28" s="283">
        <f aca="true" t="shared" si="13" ref="E28:M28">+D28*(1+E$9)</f>
        <v>0</v>
      </c>
      <c r="F28" s="283">
        <f t="shared" si="13"/>
        <v>0</v>
      </c>
      <c r="G28" s="283">
        <f t="shared" si="13"/>
        <v>0</v>
      </c>
      <c r="H28" s="283">
        <f t="shared" si="13"/>
        <v>0</v>
      </c>
      <c r="I28" s="283">
        <f t="shared" si="13"/>
        <v>0</v>
      </c>
      <c r="J28" s="283">
        <f t="shared" si="13"/>
        <v>0</v>
      </c>
      <c r="K28" s="283">
        <f t="shared" si="13"/>
        <v>0</v>
      </c>
      <c r="L28" s="283">
        <f t="shared" si="13"/>
        <v>0</v>
      </c>
      <c r="M28" s="283">
        <f t="shared" si="13"/>
        <v>0</v>
      </c>
    </row>
    <row r="29" spans="1:13" ht="14.25" thickBot="1">
      <c r="A29" s="509" t="s">
        <v>94</v>
      </c>
      <c r="B29" s="510"/>
      <c r="C29" s="36">
        <f aca="true" t="shared" si="14" ref="C29:M29">+C13+C17+C21+C25</f>
        <v>0</v>
      </c>
      <c r="D29" s="36">
        <f t="shared" si="14"/>
        <v>0</v>
      </c>
      <c r="E29" s="36">
        <f t="shared" si="14"/>
        <v>0</v>
      </c>
      <c r="F29" s="36">
        <f t="shared" si="14"/>
        <v>0</v>
      </c>
      <c r="G29" s="36">
        <f t="shared" si="14"/>
        <v>0</v>
      </c>
      <c r="H29" s="36">
        <f t="shared" si="14"/>
        <v>0</v>
      </c>
      <c r="I29" s="36">
        <f t="shared" si="14"/>
        <v>0</v>
      </c>
      <c r="J29" s="36">
        <f t="shared" si="14"/>
        <v>0</v>
      </c>
      <c r="K29" s="36">
        <f t="shared" si="14"/>
        <v>0</v>
      </c>
      <c r="L29" s="36">
        <f t="shared" si="14"/>
        <v>0</v>
      </c>
      <c r="M29" s="36">
        <f t="shared" si="14"/>
        <v>0</v>
      </c>
    </row>
    <row r="30" spans="1:13" ht="14.25" thickTop="1">
      <c r="A30" s="60"/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</row>
    <row r="31" spans="1:13" ht="13.5">
      <c r="A31" s="60"/>
      <c r="B31" s="60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</row>
    <row r="32" spans="1:13" ht="13.5">
      <c r="A32" s="501" t="s">
        <v>181</v>
      </c>
      <c r="B32" s="501"/>
      <c r="C32" s="54">
        <f aca="true" t="shared" si="15" ref="C32:M32">+C8</f>
        <v>2016</v>
      </c>
      <c r="D32" s="54">
        <f t="shared" si="15"/>
        <v>2017</v>
      </c>
      <c r="E32" s="54">
        <f t="shared" si="15"/>
        <v>2018</v>
      </c>
      <c r="F32" s="54">
        <f t="shared" si="15"/>
        <v>2019</v>
      </c>
      <c r="G32" s="54">
        <f t="shared" si="15"/>
        <v>2020</v>
      </c>
      <c r="H32" s="54">
        <f t="shared" si="15"/>
        <v>2021</v>
      </c>
      <c r="I32" s="54">
        <f t="shared" si="15"/>
        <v>2022</v>
      </c>
      <c r="J32" s="54">
        <f t="shared" si="15"/>
        <v>2023</v>
      </c>
      <c r="K32" s="54">
        <f t="shared" si="15"/>
        <v>2024</v>
      </c>
      <c r="L32" s="54">
        <f t="shared" si="15"/>
        <v>2025</v>
      </c>
      <c r="M32" s="54">
        <f t="shared" si="15"/>
        <v>2026</v>
      </c>
    </row>
    <row r="33" spans="1:13" ht="13.5">
      <c r="A33" s="503" t="s">
        <v>145</v>
      </c>
      <c r="B33" s="504"/>
      <c r="C33" s="277">
        <f aca="true" t="shared" si="16" ref="C33:M33">+C36*C34</f>
        <v>0</v>
      </c>
      <c r="D33" s="277">
        <f t="shared" si="16"/>
        <v>0</v>
      </c>
      <c r="E33" s="277">
        <f>+E36*E34</f>
        <v>0</v>
      </c>
      <c r="F33" s="277">
        <f>+F36*F34</f>
        <v>0</v>
      </c>
      <c r="G33" s="277">
        <f>+G36*G34</f>
        <v>0</v>
      </c>
      <c r="H33" s="277">
        <f>+H36*H34</f>
        <v>0</v>
      </c>
      <c r="I33" s="277">
        <f>+I36*I34</f>
        <v>0</v>
      </c>
      <c r="J33" s="277">
        <f t="shared" si="16"/>
        <v>0</v>
      </c>
      <c r="K33" s="277">
        <f t="shared" si="16"/>
        <v>0</v>
      </c>
      <c r="L33" s="277">
        <f t="shared" si="16"/>
        <v>0</v>
      </c>
      <c r="M33" s="277">
        <f t="shared" si="16"/>
        <v>0</v>
      </c>
    </row>
    <row r="34" spans="1:13" ht="13.5">
      <c r="A34" s="58" t="s">
        <v>4</v>
      </c>
      <c r="B34" s="59"/>
      <c r="C34" s="278"/>
      <c r="D34" s="279">
        <f>+C34*(1+D35)</f>
        <v>0</v>
      </c>
      <c r="E34" s="279">
        <f aca="true" t="shared" si="17" ref="E34:M34">+D34*(1+E35)</f>
        <v>0</v>
      </c>
      <c r="F34" s="279">
        <f t="shared" si="17"/>
        <v>0</v>
      </c>
      <c r="G34" s="279">
        <f t="shared" si="17"/>
        <v>0</v>
      </c>
      <c r="H34" s="279">
        <f t="shared" si="17"/>
        <v>0</v>
      </c>
      <c r="I34" s="279">
        <f t="shared" si="17"/>
        <v>0</v>
      </c>
      <c r="J34" s="279">
        <f t="shared" si="17"/>
        <v>0</v>
      </c>
      <c r="K34" s="279">
        <f t="shared" si="17"/>
        <v>0</v>
      </c>
      <c r="L34" s="279">
        <f t="shared" si="17"/>
        <v>0</v>
      </c>
      <c r="M34" s="279">
        <f t="shared" si="17"/>
        <v>0</v>
      </c>
    </row>
    <row r="35" spans="1:13" ht="13.5">
      <c r="A35" s="58" t="s">
        <v>78</v>
      </c>
      <c r="B35" s="59"/>
      <c r="C35" s="280"/>
      <c r="D35" s="281"/>
      <c r="E35" s="281"/>
      <c r="F35" s="281"/>
      <c r="G35" s="281"/>
      <c r="H35" s="281"/>
      <c r="I35" s="281"/>
      <c r="J35" s="281"/>
      <c r="K35" s="281"/>
      <c r="L35" s="281"/>
      <c r="M35" s="281"/>
    </row>
    <row r="36" spans="1:13" ht="13.5">
      <c r="A36" s="58" t="s">
        <v>5</v>
      </c>
      <c r="B36" s="59"/>
      <c r="C36" s="282"/>
      <c r="D36" s="283">
        <f>+C36*(1+D$9)</f>
        <v>0</v>
      </c>
      <c r="E36" s="283">
        <f aca="true" t="shared" si="18" ref="E36:M36">+D36*(1+E$9)</f>
        <v>0</v>
      </c>
      <c r="F36" s="283">
        <f t="shared" si="18"/>
        <v>0</v>
      </c>
      <c r="G36" s="283">
        <f t="shared" si="18"/>
        <v>0</v>
      </c>
      <c r="H36" s="283">
        <f t="shared" si="18"/>
        <v>0</v>
      </c>
      <c r="I36" s="283">
        <f t="shared" si="18"/>
        <v>0</v>
      </c>
      <c r="J36" s="283">
        <f t="shared" si="18"/>
        <v>0</v>
      </c>
      <c r="K36" s="283">
        <f t="shared" si="18"/>
        <v>0</v>
      </c>
      <c r="L36" s="283">
        <f t="shared" si="18"/>
        <v>0</v>
      </c>
      <c r="M36" s="283">
        <f t="shared" si="18"/>
        <v>0</v>
      </c>
    </row>
    <row r="37" spans="1:13" ht="13.5">
      <c r="A37" s="503" t="s">
        <v>146</v>
      </c>
      <c r="B37" s="504"/>
      <c r="C37" s="277">
        <f aca="true" t="shared" si="19" ref="C37:M37">+C40*C38</f>
        <v>0</v>
      </c>
      <c r="D37" s="277">
        <f t="shared" si="19"/>
        <v>0</v>
      </c>
      <c r="E37" s="277">
        <f>+E40*E38</f>
        <v>0</v>
      </c>
      <c r="F37" s="277">
        <f>+F40*F38</f>
        <v>0</v>
      </c>
      <c r="G37" s="277">
        <f>+G40*G38</f>
        <v>0</v>
      </c>
      <c r="H37" s="277">
        <f>+H40*H38</f>
        <v>0</v>
      </c>
      <c r="I37" s="277">
        <f>+I40*I38</f>
        <v>0</v>
      </c>
      <c r="J37" s="277">
        <f t="shared" si="19"/>
        <v>0</v>
      </c>
      <c r="K37" s="277">
        <f t="shared" si="19"/>
        <v>0</v>
      </c>
      <c r="L37" s="277">
        <f t="shared" si="19"/>
        <v>0</v>
      </c>
      <c r="M37" s="277">
        <f t="shared" si="19"/>
        <v>0</v>
      </c>
    </row>
    <row r="38" spans="1:13" ht="13.5">
      <c r="A38" s="58" t="s">
        <v>4</v>
      </c>
      <c r="B38" s="59"/>
      <c r="C38" s="278"/>
      <c r="D38" s="279">
        <f>+C38*(1+D39)</f>
        <v>0</v>
      </c>
      <c r="E38" s="279">
        <f aca="true" t="shared" si="20" ref="E38:M38">+D38*(1+E39)</f>
        <v>0</v>
      </c>
      <c r="F38" s="279">
        <f t="shared" si="20"/>
        <v>0</v>
      </c>
      <c r="G38" s="279">
        <f t="shared" si="20"/>
        <v>0</v>
      </c>
      <c r="H38" s="279">
        <f t="shared" si="20"/>
        <v>0</v>
      </c>
      <c r="I38" s="279">
        <f t="shared" si="20"/>
        <v>0</v>
      </c>
      <c r="J38" s="279">
        <f t="shared" si="20"/>
        <v>0</v>
      </c>
      <c r="K38" s="279">
        <f t="shared" si="20"/>
        <v>0</v>
      </c>
      <c r="L38" s="279">
        <f t="shared" si="20"/>
        <v>0</v>
      </c>
      <c r="M38" s="279">
        <f t="shared" si="20"/>
        <v>0</v>
      </c>
    </row>
    <row r="39" spans="1:13" ht="13.5">
      <c r="A39" s="58" t="s">
        <v>78</v>
      </c>
      <c r="B39" s="59"/>
      <c r="C39" s="280"/>
      <c r="D39" s="281"/>
      <c r="E39" s="281"/>
      <c r="F39" s="281"/>
      <c r="G39" s="281"/>
      <c r="H39" s="281"/>
      <c r="I39" s="281"/>
      <c r="J39" s="281"/>
      <c r="K39" s="281"/>
      <c r="L39" s="281"/>
      <c r="M39" s="281"/>
    </row>
    <row r="40" spans="1:13" ht="13.5">
      <c r="A40" s="58" t="s">
        <v>5</v>
      </c>
      <c r="B40" s="59"/>
      <c r="C40" s="282"/>
      <c r="D40" s="283">
        <f>+C40*(1+D$9)</f>
        <v>0</v>
      </c>
      <c r="E40" s="283">
        <f aca="true" t="shared" si="21" ref="E40:M40">+D40*(1+E$9)</f>
        <v>0</v>
      </c>
      <c r="F40" s="283">
        <f t="shared" si="21"/>
        <v>0</v>
      </c>
      <c r="G40" s="283">
        <f t="shared" si="21"/>
        <v>0</v>
      </c>
      <c r="H40" s="283">
        <f t="shared" si="21"/>
        <v>0</v>
      </c>
      <c r="I40" s="283">
        <f t="shared" si="21"/>
        <v>0</v>
      </c>
      <c r="J40" s="283">
        <f t="shared" si="21"/>
        <v>0</v>
      </c>
      <c r="K40" s="283">
        <f t="shared" si="21"/>
        <v>0</v>
      </c>
      <c r="L40" s="283">
        <f t="shared" si="21"/>
        <v>0</v>
      </c>
      <c r="M40" s="283">
        <f t="shared" si="21"/>
        <v>0</v>
      </c>
    </row>
    <row r="41" spans="1:13" ht="14.25" thickBot="1">
      <c r="A41" s="502" t="s">
        <v>94</v>
      </c>
      <c r="B41" s="502"/>
      <c r="C41" s="36">
        <f aca="true" t="shared" si="22" ref="C41:M41">+C33+C37</f>
        <v>0</v>
      </c>
      <c r="D41" s="36">
        <f t="shared" si="22"/>
        <v>0</v>
      </c>
      <c r="E41" s="36">
        <f>+E33+E37</f>
        <v>0</v>
      </c>
      <c r="F41" s="36">
        <f>+F33+F37</f>
        <v>0</v>
      </c>
      <c r="G41" s="36">
        <f>+G33+G37</f>
        <v>0</v>
      </c>
      <c r="H41" s="36">
        <f>+H33+H37</f>
        <v>0</v>
      </c>
      <c r="I41" s="36">
        <f>+I33+I37</f>
        <v>0</v>
      </c>
      <c r="J41" s="36">
        <f t="shared" si="22"/>
        <v>0</v>
      </c>
      <c r="K41" s="36">
        <f t="shared" si="22"/>
        <v>0</v>
      </c>
      <c r="L41" s="36">
        <f t="shared" si="22"/>
        <v>0</v>
      </c>
      <c r="M41" s="36">
        <f t="shared" si="22"/>
        <v>0</v>
      </c>
    </row>
    <row r="42" spans="1:13" ht="14.25" thickTop="1">
      <c r="A42" s="63" t="s">
        <v>144</v>
      </c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</row>
    <row r="43" spans="1:15" ht="13.5">
      <c r="A43" s="64" t="s">
        <v>151</v>
      </c>
      <c r="B43" s="65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7"/>
      <c r="O43" s="67"/>
    </row>
    <row r="44" spans="1:15" ht="13.5">
      <c r="A44" s="57"/>
      <c r="B44" s="65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7"/>
      <c r="O44" s="67"/>
    </row>
    <row r="45" spans="1:15" ht="13.5">
      <c r="A45" s="501" t="s">
        <v>266</v>
      </c>
      <c r="B45" s="501"/>
      <c r="C45" s="54">
        <f aca="true" t="shared" si="23" ref="C45:M45">+C8</f>
        <v>2016</v>
      </c>
      <c r="D45" s="54">
        <f t="shared" si="23"/>
        <v>2017</v>
      </c>
      <c r="E45" s="54">
        <f t="shared" si="23"/>
        <v>2018</v>
      </c>
      <c r="F45" s="54">
        <f t="shared" si="23"/>
        <v>2019</v>
      </c>
      <c r="G45" s="54">
        <f t="shared" si="23"/>
        <v>2020</v>
      </c>
      <c r="H45" s="54">
        <f t="shared" si="23"/>
        <v>2021</v>
      </c>
      <c r="I45" s="54">
        <f t="shared" si="23"/>
        <v>2022</v>
      </c>
      <c r="J45" s="54">
        <f t="shared" si="23"/>
        <v>2023</v>
      </c>
      <c r="K45" s="54">
        <f t="shared" si="23"/>
        <v>2024</v>
      </c>
      <c r="L45" s="54">
        <f t="shared" si="23"/>
        <v>2025</v>
      </c>
      <c r="M45" s="54">
        <f t="shared" si="23"/>
        <v>2026</v>
      </c>
      <c r="N45" s="67"/>
      <c r="O45" s="67"/>
    </row>
    <row r="46" spans="1:15" ht="13.5">
      <c r="A46" s="503" t="s">
        <v>74</v>
      </c>
      <c r="B46" s="504"/>
      <c r="C46" s="278"/>
      <c r="D46" s="279">
        <f>+C46*(1+D47)</f>
        <v>0</v>
      </c>
      <c r="E46" s="279">
        <f>+D46*(1+E47)</f>
        <v>0</v>
      </c>
      <c r="F46" s="279">
        <f>+E46*(1+F47)</f>
        <v>0</v>
      </c>
      <c r="G46" s="279">
        <f aca="true" t="shared" si="24" ref="G46:M46">+F46*(1+G47)</f>
        <v>0</v>
      </c>
      <c r="H46" s="279">
        <f t="shared" si="24"/>
        <v>0</v>
      </c>
      <c r="I46" s="279">
        <f t="shared" si="24"/>
        <v>0</v>
      </c>
      <c r="J46" s="279">
        <f t="shared" si="24"/>
        <v>0</v>
      </c>
      <c r="K46" s="279">
        <f t="shared" si="24"/>
        <v>0</v>
      </c>
      <c r="L46" s="279">
        <f t="shared" si="24"/>
        <v>0</v>
      </c>
      <c r="M46" s="279">
        <f t="shared" si="24"/>
        <v>0</v>
      </c>
      <c r="N46" s="67"/>
      <c r="O46" s="67"/>
    </row>
    <row r="47" spans="1:15" ht="13.5">
      <c r="A47" s="58" t="s">
        <v>238</v>
      </c>
      <c r="B47" s="59"/>
      <c r="C47" s="280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67"/>
      <c r="O47" s="67"/>
    </row>
    <row r="48" spans="1:15" ht="13.5">
      <c r="A48" s="503" t="s">
        <v>75</v>
      </c>
      <c r="B48" s="504"/>
      <c r="C48" s="278"/>
      <c r="D48" s="279">
        <f>+C48*(1+D49)</f>
        <v>0</v>
      </c>
      <c r="E48" s="279">
        <f>+D48*(1+E49)</f>
        <v>0</v>
      </c>
      <c r="F48" s="279">
        <f aca="true" t="shared" si="25" ref="F48:M48">+E48*(1+F49)</f>
        <v>0</v>
      </c>
      <c r="G48" s="279">
        <f t="shared" si="25"/>
        <v>0</v>
      </c>
      <c r="H48" s="279">
        <f t="shared" si="25"/>
        <v>0</v>
      </c>
      <c r="I48" s="279">
        <f t="shared" si="25"/>
        <v>0</v>
      </c>
      <c r="J48" s="279">
        <f t="shared" si="25"/>
        <v>0</v>
      </c>
      <c r="K48" s="279">
        <f t="shared" si="25"/>
        <v>0</v>
      </c>
      <c r="L48" s="279">
        <f t="shared" si="25"/>
        <v>0</v>
      </c>
      <c r="M48" s="279">
        <f t="shared" si="25"/>
        <v>0</v>
      </c>
      <c r="N48" s="67"/>
      <c r="O48" s="67"/>
    </row>
    <row r="49" spans="1:15" ht="13.5">
      <c r="A49" s="58" t="s">
        <v>238</v>
      </c>
      <c r="B49" s="59"/>
      <c r="C49" s="280"/>
      <c r="D49" s="281"/>
      <c r="E49" s="281"/>
      <c r="F49" s="281"/>
      <c r="G49" s="281"/>
      <c r="H49" s="281"/>
      <c r="I49" s="281"/>
      <c r="J49" s="281"/>
      <c r="K49" s="281"/>
      <c r="L49" s="281"/>
      <c r="M49" s="281"/>
      <c r="N49" s="67"/>
      <c r="O49" s="67"/>
    </row>
    <row r="50" spans="1:15" ht="13.5">
      <c r="A50" s="503" t="s">
        <v>76</v>
      </c>
      <c r="B50" s="504"/>
      <c r="C50" s="278"/>
      <c r="D50" s="279">
        <f>+C50*(1+D51)</f>
        <v>0</v>
      </c>
      <c r="E50" s="279">
        <f>+D50*(1+E51)</f>
        <v>0</v>
      </c>
      <c r="F50" s="279">
        <f aca="true" t="shared" si="26" ref="F50:M50">+E50*(1+F51)</f>
        <v>0</v>
      </c>
      <c r="G50" s="279">
        <f t="shared" si="26"/>
        <v>0</v>
      </c>
      <c r="H50" s="279">
        <f t="shared" si="26"/>
        <v>0</v>
      </c>
      <c r="I50" s="279">
        <f t="shared" si="26"/>
        <v>0</v>
      </c>
      <c r="J50" s="279">
        <f t="shared" si="26"/>
        <v>0</v>
      </c>
      <c r="K50" s="279">
        <f t="shared" si="26"/>
        <v>0</v>
      </c>
      <c r="L50" s="279">
        <f t="shared" si="26"/>
        <v>0</v>
      </c>
      <c r="M50" s="279">
        <f t="shared" si="26"/>
        <v>0</v>
      </c>
      <c r="N50" s="67"/>
      <c r="O50" s="67"/>
    </row>
    <row r="51" spans="1:15" ht="13.5">
      <c r="A51" s="58" t="s">
        <v>238</v>
      </c>
      <c r="B51" s="59"/>
      <c r="C51" s="280"/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67"/>
      <c r="O51" s="67"/>
    </row>
    <row r="52" spans="1:15" ht="13.5">
      <c r="A52" s="503" t="s">
        <v>77</v>
      </c>
      <c r="B52" s="504"/>
      <c r="C52" s="278"/>
      <c r="D52" s="279">
        <f>+C52*(1+D53)</f>
        <v>0</v>
      </c>
      <c r="E52" s="279">
        <f>+D52*(1+E53)</f>
        <v>0</v>
      </c>
      <c r="F52" s="279">
        <f aca="true" t="shared" si="27" ref="F52:M52">+E52*(1+F53)</f>
        <v>0</v>
      </c>
      <c r="G52" s="279">
        <f t="shared" si="27"/>
        <v>0</v>
      </c>
      <c r="H52" s="279">
        <f t="shared" si="27"/>
        <v>0</v>
      </c>
      <c r="I52" s="279">
        <f t="shared" si="27"/>
        <v>0</v>
      </c>
      <c r="J52" s="279">
        <f t="shared" si="27"/>
        <v>0</v>
      </c>
      <c r="K52" s="279">
        <f t="shared" si="27"/>
        <v>0</v>
      </c>
      <c r="L52" s="279">
        <f t="shared" si="27"/>
        <v>0</v>
      </c>
      <c r="M52" s="279">
        <f t="shared" si="27"/>
        <v>0</v>
      </c>
      <c r="N52" s="67"/>
      <c r="O52" s="67"/>
    </row>
    <row r="53" spans="1:15" ht="13.5">
      <c r="A53" s="58" t="s">
        <v>238</v>
      </c>
      <c r="B53" s="59"/>
      <c r="C53" s="280"/>
      <c r="D53" s="281"/>
      <c r="E53" s="281"/>
      <c r="F53" s="281"/>
      <c r="G53" s="281"/>
      <c r="H53" s="281"/>
      <c r="I53" s="281"/>
      <c r="J53" s="281"/>
      <c r="K53" s="281"/>
      <c r="L53" s="281"/>
      <c r="M53" s="281"/>
      <c r="N53" s="67"/>
      <c r="O53" s="67"/>
    </row>
    <row r="54" spans="1:13" ht="14.25" thickBot="1">
      <c r="A54" s="502" t="s">
        <v>94</v>
      </c>
      <c r="B54" s="502"/>
      <c r="C54" s="36">
        <f aca="true" t="shared" si="28" ref="C54:M54">+C46+C48+C50+C52</f>
        <v>0</v>
      </c>
      <c r="D54" s="36">
        <f t="shared" si="28"/>
        <v>0</v>
      </c>
      <c r="E54" s="36">
        <f>+E46+E48+E50+E52</f>
        <v>0</v>
      </c>
      <c r="F54" s="36">
        <f>+F46+F48+F50+F52</f>
        <v>0</v>
      </c>
      <c r="G54" s="36">
        <f>+G46+G48+G50+G52</f>
        <v>0</v>
      </c>
      <c r="H54" s="36">
        <f>+H46+H48+H50+H52</f>
        <v>0</v>
      </c>
      <c r="I54" s="36">
        <f>+I46+I48+I50+I52</f>
        <v>0</v>
      </c>
      <c r="J54" s="36">
        <f t="shared" si="28"/>
        <v>0</v>
      </c>
      <c r="K54" s="36">
        <f t="shared" si="28"/>
        <v>0</v>
      </c>
      <c r="L54" s="36">
        <f t="shared" si="28"/>
        <v>0</v>
      </c>
      <c r="M54" s="36">
        <f t="shared" si="28"/>
        <v>0</v>
      </c>
    </row>
    <row r="55" spans="1:15" ht="14.25" thickTop="1">
      <c r="A55" s="69"/>
      <c r="B55" s="70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7"/>
      <c r="O55" s="67"/>
    </row>
    <row r="56" spans="1:15" ht="13.5">
      <c r="A56" s="69"/>
      <c r="B56" s="70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7"/>
      <c r="O56" s="67"/>
    </row>
    <row r="57" spans="1:15" ht="13.5">
      <c r="A57" s="501" t="s">
        <v>267</v>
      </c>
      <c r="B57" s="501"/>
      <c r="C57" s="71">
        <f aca="true" t="shared" si="29" ref="C57:M57">+C8</f>
        <v>2016</v>
      </c>
      <c r="D57" s="71">
        <f t="shared" si="29"/>
        <v>2017</v>
      </c>
      <c r="E57" s="71">
        <f t="shared" si="29"/>
        <v>2018</v>
      </c>
      <c r="F57" s="71">
        <f t="shared" si="29"/>
        <v>2019</v>
      </c>
      <c r="G57" s="71">
        <f t="shared" si="29"/>
        <v>2020</v>
      </c>
      <c r="H57" s="71">
        <f t="shared" si="29"/>
        <v>2021</v>
      </c>
      <c r="I57" s="71">
        <f t="shared" si="29"/>
        <v>2022</v>
      </c>
      <c r="J57" s="71">
        <f t="shared" si="29"/>
        <v>2023</v>
      </c>
      <c r="K57" s="71">
        <f t="shared" si="29"/>
        <v>2024</v>
      </c>
      <c r="L57" s="71">
        <f t="shared" si="29"/>
        <v>2025</v>
      </c>
      <c r="M57" s="71">
        <f t="shared" si="29"/>
        <v>2026</v>
      </c>
      <c r="N57" s="67"/>
      <c r="O57" s="67"/>
    </row>
    <row r="58" spans="1:15" ht="13.5">
      <c r="A58" s="503" t="s">
        <v>74</v>
      </c>
      <c r="B58" s="504"/>
      <c r="C58" s="278"/>
      <c r="D58" s="279">
        <f>+C58*(1+D59)</f>
        <v>0</v>
      </c>
      <c r="E58" s="279">
        <f>+D58*(1+E59)</f>
        <v>0</v>
      </c>
      <c r="F58" s="279">
        <f aca="true" t="shared" si="30" ref="F58:M58">+E58*(1+F59)</f>
        <v>0</v>
      </c>
      <c r="G58" s="279">
        <f t="shared" si="30"/>
        <v>0</v>
      </c>
      <c r="H58" s="279">
        <f t="shared" si="30"/>
        <v>0</v>
      </c>
      <c r="I58" s="279">
        <f t="shared" si="30"/>
        <v>0</v>
      </c>
      <c r="J58" s="279">
        <f t="shared" si="30"/>
        <v>0</v>
      </c>
      <c r="K58" s="279">
        <f t="shared" si="30"/>
        <v>0</v>
      </c>
      <c r="L58" s="279">
        <f t="shared" si="30"/>
        <v>0</v>
      </c>
      <c r="M58" s="279">
        <f t="shared" si="30"/>
        <v>0</v>
      </c>
      <c r="N58" s="67"/>
      <c r="O58" s="67"/>
    </row>
    <row r="59" spans="1:15" ht="13.5">
      <c r="A59" s="58" t="s">
        <v>238</v>
      </c>
      <c r="B59" s="59"/>
      <c r="C59" s="280"/>
      <c r="D59" s="281"/>
      <c r="E59" s="281"/>
      <c r="F59" s="281"/>
      <c r="G59" s="281"/>
      <c r="H59" s="281"/>
      <c r="I59" s="281"/>
      <c r="J59" s="281"/>
      <c r="K59" s="281"/>
      <c r="L59" s="281"/>
      <c r="M59" s="281"/>
      <c r="N59" s="67"/>
      <c r="O59" s="67"/>
    </row>
    <row r="60" spans="1:15" ht="13.5">
      <c r="A60" s="503" t="s">
        <v>75</v>
      </c>
      <c r="B60" s="504"/>
      <c r="C60" s="278"/>
      <c r="D60" s="279">
        <f>+C60*(1+D61)</f>
        <v>0</v>
      </c>
      <c r="E60" s="279">
        <f>+D60*(1+E61)</f>
        <v>0</v>
      </c>
      <c r="F60" s="279">
        <f aca="true" t="shared" si="31" ref="F60:M60">+E60*(1+F61)</f>
        <v>0</v>
      </c>
      <c r="G60" s="279">
        <f t="shared" si="31"/>
        <v>0</v>
      </c>
      <c r="H60" s="279">
        <f t="shared" si="31"/>
        <v>0</v>
      </c>
      <c r="I60" s="279">
        <f t="shared" si="31"/>
        <v>0</v>
      </c>
      <c r="J60" s="279">
        <f t="shared" si="31"/>
        <v>0</v>
      </c>
      <c r="K60" s="279">
        <f t="shared" si="31"/>
        <v>0</v>
      </c>
      <c r="L60" s="279">
        <f t="shared" si="31"/>
        <v>0</v>
      </c>
      <c r="M60" s="279">
        <f t="shared" si="31"/>
        <v>0</v>
      </c>
      <c r="N60" s="67"/>
      <c r="O60" s="67"/>
    </row>
    <row r="61" spans="1:15" ht="13.5">
      <c r="A61" s="58" t="s">
        <v>238</v>
      </c>
      <c r="B61" s="59"/>
      <c r="C61" s="280"/>
      <c r="D61" s="281"/>
      <c r="E61" s="281"/>
      <c r="F61" s="281"/>
      <c r="G61" s="281"/>
      <c r="H61" s="281"/>
      <c r="I61" s="281"/>
      <c r="J61" s="281"/>
      <c r="K61" s="281"/>
      <c r="L61" s="281"/>
      <c r="M61" s="281"/>
      <c r="N61" s="67"/>
      <c r="O61" s="67"/>
    </row>
    <row r="62" spans="1:15" ht="13.5">
      <c r="A62" s="503" t="s">
        <v>76</v>
      </c>
      <c r="B62" s="504"/>
      <c r="C62" s="278"/>
      <c r="D62" s="279">
        <f>+C62*(1+D63)</f>
        <v>0</v>
      </c>
      <c r="E62" s="279">
        <f>+D62*(1+E63)</f>
        <v>0</v>
      </c>
      <c r="F62" s="279">
        <f aca="true" t="shared" si="32" ref="F62:M62">+E62*(1+F63)</f>
        <v>0</v>
      </c>
      <c r="G62" s="279">
        <f t="shared" si="32"/>
        <v>0</v>
      </c>
      <c r="H62" s="279">
        <f t="shared" si="32"/>
        <v>0</v>
      </c>
      <c r="I62" s="279">
        <f t="shared" si="32"/>
        <v>0</v>
      </c>
      <c r="J62" s="279">
        <f t="shared" si="32"/>
        <v>0</v>
      </c>
      <c r="K62" s="279">
        <f t="shared" si="32"/>
        <v>0</v>
      </c>
      <c r="L62" s="279">
        <f t="shared" si="32"/>
        <v>0</v>
      </c>
      <c r="M62" s="279">
        <f t="shared" si="32"/>
        <v>0</v>
      </c>
      <c r="N62" s="67"/>
      <c r="O62" s="67"/>
    </row>
    <row r="63" spans="1:15" ht="13.5">
      <c r="A63" s="58" t="s">
        <v>238</v>
      </c>
      <c r="B63" s="59"/>
      <c r="C63" s="280"/>
      <c r="D63" s="281"/>
      <c r="E63" s="281"/>
      <c r="F63" s="281"/>
      <c r="G63" s="281"/>
      <c r="H63" s="281"/>
      <c r="I63" s="281"/>
      <c r="J63" s="281"/>
      <c r="K63" s="281"/>
      <c r="L63" s="281"/>
      <c r="M63" s="281"/>
      <c r="N63" s="67"/>
      <c r="O63" s="67"/>
    </row>
    <row r="64" spans="1:15" ht="13.5">
      <c r="A64" s="503" t="s">
        <v>77</v>
      </c>
      <c r="B64" s="504"/>
      <c r="C64" s="278"/>
      <c r="D64" s="279">
        <f>+C64*(1+D65)</f>
        <v>0</v>
      </c>
      <c r="E64" s="279">
        <f>+D64*(1+E65)</f>
        <v>0</v>
      </c>
      <c r="F64" s="279">
        <f aca="true" t="shared" si="33" ref="F64:M64">+E64*(1+F65)</f>
        <v>0</v>
      </c>
      <c r="G64" s="279">
        <f t="shared" si="33"/>
        <v>0</v>
      </c>
      <c r="H64" s="279">
        <f t="shared" si="33"/>
        <v>0</v>
      </c>
      <c r="I64" s="279">
        <f t="shared" si="33"/>
        <v>0</v>
      </c>
      <c r="J64" s="279">
        <f t="shared" si="33"/>
        <v>0</v>
      </c>
      <c r="K64" s="279">
        <f t="shared" si="33"/>
        <v>0</v>
      </c>
      <c r="L64" s="279">
        <f t="shared" si="33"/>
        <v>0</v>
      </c>
      <c r="M64" s="279">
        <f t="shared" si="33"/>
        <v>0</v>
      </c>
      <c r="N64" s="67"/>
      <c r="O64" s="67"/>
    </row>
    <row r="65" spans="1:15" ht="13.5">
      <c r="A65" s="58" t="s">
        <v>238</v>
      </c>
      <c r="B65" s="59"/>
      <c r="C65" s="280"/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67"/>
      <c r="O65" s="67"/>
    </row>
    <row r="66" spans="1:13" ht="14.25" thickBot="1">
      <c r="A66" s="502" t="s">
        <v>94</v>
      </c>
      <c r="B66" s="502"/>
      <c r="C66" s="36">
        <f aca="true" t="shared" si="34" ref="C66:M66">+C58+C60+C62+C64</f>
        <v>0</v>
      </c>
      <c r="D66" s="36">
        <f t="shared" si="34"/>
        <v>0</v>
      </c>
      <c r="E66" s="36">
        <f>+E58+E60+E62+E64</f>
        <v>0</v>
      </c>
      <c r="F66" s="36">
        <f>+F58+F60+F62+F64</f>
        <v>0</v>
      </c>
      <c r="G66" s="36">
        <f>+G58+G60+G62+G64</f>
        <v>0</v>
      </c>
      <c r="H66" s="36">
        <f>+H58+H60+H62+H64</f>
        <v>0</v>
      </c>
      <c r="I66" s="36">
        <f>+I58+I60+I62+I64</f>
        <v>0</v>
      </c>
      <c r="J66" s="36">
        <f t="shared" si="34"/>
        <v>0</v>
      </c>
      <c r="K66" s="36">
        <f t="shared" si="34"/>
        <v>0</v>
      </c>
      <c r="L66" s="36">
        <f t="shared" si="34"/>
        <v>0</v>
      </c>
      <c r="M66" s="36">
        <f t="shared" si="34"/>
        <v>0</v>
      </c>
    </row>
    <row r="67" spans="1:15" ht="14.25" thickTop="1">
      <c r="A67" s="69"/>
      <c r="B67" s="70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7"/>
      <c r="O67" s="67"/>
    </row>
    <row r="68" spans="1:15" ht="13.5">
      <c r="A68" s="69"/>
      <c r="B68" s="70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7"/>
      <c r="O68" s="67"/>
    </row>
    <row r="69" spans="1:15" ht="13.5">
      <c r="A69" s="506" t="s">
        <v>182</v>
      </c>
      <c r="B69" s="506"/>
      <c r="C69" s="72">
        <f aca="true" t="shared" si="35" ref="C69:M69">+C29</f>
        <v>0</v>
      </c>
      <c r="D69" s="72">
        <f t="shared" si="35"/>
        <v>0</v>
      </c>
      <c r="E69" s="72">
        <f>+E29</f>
        <v>0</v>
      </c>
      <c r="F69" s="72">
        <f>+F29</f>
        <v>0</v>
      </c>
      <c r="G69" s="72">
        <f>+G29</f>
        <v>0</v>
      </c>
      <c r="H69" s="72">
        <f>+H29</f>
        <v>0</v>
      </c>
      <c r="I69" s="72">
        <f>+I29</f>
        <v>0</v>
      </c>
      <c r="J69" s="72">
        <f t="shared" si="35"/>
        <v>0</v>
      </c>
      <c r="K69" s="72">
        <f t="shared" si="35"/>
        <v>0</v>
      </c>
      <c r="L69" s="72">
        <f t="shared" si="35"/>
        <v>0</v>
      </c>
      <c r="M69" s="72">
        <f t="shared" si="35"/>
        <v>0</v>
      </c>
      <c r="N69" s="67"/>
      <c r="O69" s="67"/>
    </row>
    <row r="70" spans="1:15" ht="13.5">
      <c r="A70" s="506" t="s">
        <v>183</v>
      </c>
      <c r="B70" s="506"/>
      <c r="C70" s="72">
        <f aca="true" t="shared" si="36" ref="C70:M70">+C41</f>
        <v>0</v>
      </c>
      <c r="D70" s="72">
        <f t="shared" si="36"/>
        <v>0</v>
      </c>
      <c r="E70" s="72">
        <f>+E41</f>
        <v>0</v>
      </c>
      <c r="F70" s="72">
        <f>+F41</f>
        <v>0</v>
      </c>
      <c r="G70" s="72">
        <f>+G41</f>
        <v>0</v>
      </c>
      <c r="H70" s="72">
        <f>+H41</f>
        <v>0</v>
      </c>
      <c r="I70" s="72">
        <f>+I41</f>
        <v>0</v>
      </c>
      <c r="J70" s="72">
        <f t="shared" si="36"/>
        <v>0</v>
      </c>
      <c r="K70" s="72">
        <f t="shared" si="36"/>
        <v>0</v>
      </c>
      <c r="L70" s="72">
        <f t="shared" si="36"/>
        <v>0</v>
      </c>
      <c r="M70" s="72">
        <f t="shared" si="36"/>
        <v>0</v>
      </c>
      <c r="N70" s="67"/>
      <c r="O70" s="67"/>
    </row>
    <row r="71" spans="1:15" ht="13.5">
      <c r="A71" s="506" t="s">
        <v>64</v>
      </c>
      <c r="B71" s="506"/>
      <c r="C71" s="79">
        <f aca="true" t="shared" si="37" ref="C71:M71">+C69+C70</f>
        <v>0</v>
      </c>
      <c r="D71" s="79">
        <f t="shared" si="37"/>
        <v>0</v>
      </c>
      <c r="E71" s="79">
        <f>+E69+E70</f>
        <v>0</v>
      </c>
      <c r="F71" s="79">
        <f>+F69+F70</f>
        <v>0</v>
      </c>
      <c r="G71" s="79">
        <f>+G69+G70</f>
        <v>0</v>
      </c>
      <c r="H71" s="79">
        <f>+H69+H70</f>
        <v>0</v>
      </c>
      <c r="I71" s="79">
        <f>+I69+I70</f>
        <v>0</v>
      </c>
      <c r="J71" s="79">
        <f t="shared" si="37"/>
        <v>0</v>
      </c>
      <c r="K71" s="79">
        <f t="shared" si="37"/>
        <v>0</v>
      </c>
      <c r="L71" s="79">
        <f t="shared" si="37"/>
        <v>0</v>
      </c>
      <c r="M71" s="79">
        <f t="shared" si="37"/>
        <v>0</v>
      </c>
      <c r="N71" s="67"/>
      <c r="O71" s="67"/>
    </row>
    <row r="72" spans="1:15" ht="14.25" thickBot="1">
      <c r="A72" s="73" t="s">
        <v>150</v>
      </c>
      <c r="B72" s="433">
        <f>+Pressupostos!B18</f>
        <v>0.23</v>
      </c>
      <c r="C72" s="36">
        <f aca="true" t="shared" si="38" ref="C72:M72">+C69*$B$72</f>
        <v>0</v>
      </c>
      <c r="D72" s="36">
        <f t="shared" si="38"/>
        <v>0</v>
      </c>
      <c r="E72" s="36">
        <f>+E69*$B$72</f>
        <v>0</v>
      </c>
      <c r="F72" s="36">
        <f>+F69*$B$72</f>
        <v>0</v>
      </c>
      <c r="G72" s="36">
        <f>+G69*$B$72</f>
        <v>0</v>
      </c>
      <c r="H72" s="36">
        <f>+H69*$B$72</f>
        <v>0</v>
      </c>
      <c r="I72" s="36">
        <f>+I69*$B$72</f>
        <v>0</v>
      </c>
      <c r="J72" s="36">
        <f t="shared" si="38"/>
        <v>0</v>
      </c>
      <c r="K72" s="36">
        <f t="shared" si="38"/>
        <v>0</v>
      </c>
      <c r="L72" s="36">
        <f t="shared" si="38"/>
        <v>0</v>
      </c>
      <c r="M72" s="36">
        <f t="shared" si="38"/>
        <v>0</v>
      </c>
      <c r="N72" s="67"/>
      <c r="O72" s="67"/>
    </row>
    <row r="73" spans="1:15" ht="14.25" thickTop="1">
      <c r="A73" s="60"/>
      <c r="B73" s="74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7"/>
      <c r="O73" s="67"/>
    </row>
    <row r="74" spans="1:15" s="76" customFormat="1" ht="13.5">
      <c r="A74" s="60"/>
      <c r="B74" s="74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75"/>
      <c r="O74" s="75"/>
    </row>
    <row r="75" spans="1:15" ht="13.5">
      <c r="A75" s="507" t="s">
        <v>452</v>
      </c>
      <c r="B75" s="507"/>
      <c r="C75" s="72">
        <f aca="true" t="shared" si="39" ref="C75:M75">+C54</f>
        <v>0</v>
      </c>
      <c r="D75" s="72">
        <f t="shared" si="39"/>
        <v>0</v>
      </c>
      <c r="E75" s="72">
        <f>+E54</f>
        <v>0</v>
      </c>
      <c r="F75" s="72">
        <f>+F54</f>
        <v>0</v>
      </c>
      <c r="G75" s="72">
        <f>+G54</f>
        <v>0</v>
      </c>
      <c r="H75" s="72">
        <f>+H54</f>
        <v>0</v>
      </c>
      <c r="I75" s="72">
        <f>+I54</f>
        <v>0</v>
      </c>
      <c r="J75" s="72">
        <f t="shared" si="39"/>
        <v>0</v>
      </c>
      <c r="K75" s="72">
        <f t="shared" si="39"/>
        <v>0</v>
      </c>
      <c r="L75" s="72">
        <f t="shared" si="39"/>
        <v>0</v>
      </c>
      <c r="M75" s="72">
        <f t="shared" si="39"/>
        <v>0</v>
      </c>
      <c r="N75" s="67"/>
      <c r="O75" s="67"/>
    </row>
    <row r="76" spans="1:15" ht="13.5">
      <c r="A76" s="507" t="s">
        <v>268</v>
      </c>
      <c r="B76" s="507"/>
      <c r="C76" s="72">
        <f aca="true" t="shared" si="40" ref="C76:M76">+C66</f>
        <v>0</v>
      </c>
      <c r="D76" s="72">
        <f t="shared" si="40"/>
        <v>0</v>
      </c>
      <c r="E76" s="72">
        <f>+E66</f>
        <v>0</v>
      </c>
      <c r="F76" s="72">
        <f>+F66</f>
        <v>0</v>
      </c>
      <c r="G76" s="72">
        <f>+G66</f>
        <v>0</v>
      </c>
      <c r="H76" s="72">
        <f>+H66</f>
        <v>0</v>
      </c>
      <c r="I76" s="72">
        <f>+I66</f>
        <v>0</v>
      </c>
      <c r="J76" s="72">
        <f t="shared" si="40"/>
        <v>0</v>
      </c>
      <c r="K76" s="72">
        <f t="shared" si="40"/>
        <v>0</v>
      </c>
      <c r="L76" s="72">
        <f t="shared" si="40"/>
        <v>0</v>
      </c>
      <c r="M76" s="72">
        <f t="shared" si="40"/>
        <v>0</v>
      </c>
      <c r="N76" s="67"/>
      <c r="O76" s="67"/>
    </row>
    <row r="77" spans="1:15" ht="13.5">
      <c r="A77" s="507" t="s">
        <v>184</v>
      </c>
      <c r="B77" s="507"/>
      <c r="C77" s="79">
        <f aca="true" t="shared" si="41" ref="C77:M77">+C75+C76</f>
        <v>0</v>
      </c>
      <c r="D77" s="79">
        <f t="shared" si="41"/>
        <v>0</v>
      </c>
      <c r="E77" s="79">
        <f>+E75+E76</f>
        <v>0</v>
      </c>
      <c r="F77" s="79">
        <f>+F75+F76</f>
        <v>0</v>
      </c>
      <c r="G77" s="79">
        <f>+G75+G76</f>
        <v>0</v>
      </c>
      <c r="H77" s="79">
        <f>+H75+H76</f>
        <v>0</v>
      </c>
      <c r="I77" s="79">
        <f>+I75+I76</f>
        <v>0</v>
      </c>
      <c r="J77" s="79">
        <f t="shared" si="41"/>
        <v>0</v>
      </c>
      <c r="K77" s="79">
        <f t="shared" si="41"/>
        <v>0</v>
      </c>
      <c r="L77" s="79">
        <f t="shared" si="41"/>
        <v>0</v>
      </c>
      <c r="M77" s="79">
        <f t="shared" si="41"/>
        <v>0</v>
      </c>
      <c r="N77" s="67"/>
      <c r="O77" s="67"/>
    </row>
    <row r="78" spans="1:15" ht="14.25" thickBot="1">
      <c r="A78" s="73" t="s">
        <v>269</v>
      </c>
      <c r="B78" s="433">
        <f>+Pressupostos!B19</f>
        <v>0.23</v>
      </c>
      <c r="C78" s="36">
        <f aca="true" t="shared" si="42" ref="C78:M78">+C75*$B$78</f>
        <v>0</v>
      </c>
      <c r="D78" s="36">
        <f t="shared" si="42"/>
        <v>0</v>
      </c>
      <c r="E78" s="36">
        <f>+E75*$B$78</f>
        <v>0</v>
      </c>
      <c r="F78" s="36">
        <f>+F75*$B$78</f>
        <v>0</v>
      </c>
      <c r="G78" s="36">
        <f>+G75*$B$78</f>
        <v>0</v>
      </c>
      <c r="H78" s="36">
        <f>+H75*$B$78</f>
        <v>0</v>
      </c>
      <c r="I78" s="36">
        <f>+I75*$B$78</f>
        <v>0</v>
      </c>
      <c r="J78" s="36">
        <f t="shared" si="42"/>
        <v>0</v>
      </c>
      <c r="K78" s="36">
        <f t="shared" si="42"/>
        <v>0</v>
      </c>
      <c r="L78" s="36">
        <f t="shared" si="42"/>
        <v>0</v>
      </c>
      <c r="M78" s="36">
        <f t="shared" si="42"/>
        <v>0</v>
      </c>
      <c r="N78" s="67"/>
      <c r="O78" s="67"/>
    </row>
    <row r="79" spans="1:15" ht="14.25" thickTop="1">
      <c r="A79" s="69"/>
      <c r="B79" s="70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7"/>
      <c r="O79" s="67"/>
    </row>
    <row r="80" spans="1:15" ht="14.25" thickBot="1">
      <c r="A80" s="505" t="s">
        <v>65</v>
      </c>
      <c r="B80" s="505"/>
      <c r="C80" s="36">
        <f aca="true" t="shared" si="43" ref="C80:M80">+C71+C77</f>
        <v>0</v>
      </c>
      <c r="D80" s="36">
        <f t="shared" si="43"/>
        <v>0</v>
      </c>
      <c r="E80" s="36">
        <f>+E71+E77</f>
        <v>0</v>
      </c>
      <c r="F80" s="36">
        <f>+F71+F77</f>
        <v>0</v>
      </c>
      <c r="G80" s="36">
        <f>+G71+G77</f>
        <v>0</v>
      </c>
      <c r="H80" s="36">
        <f>+H71+H77</f>
        <v>0</v>
      </c>
      <c r="I80" s="36">
        <f>+I71+I77</f>
        <v>0</v>
      </c>
      <c r="J80" s="36">
        <f t="shared" si="43"/>
        <v>0</v>
      </c>
      <c r="K80" s="36">
        <f t="shared" si="43"/>
        <v>0</v>
      </c>
      <c r="L80" s="36">
        <f t="shared" si="43"/>
        <v>0</v>
      </c>
      <c r="M80" s="36">
        <f t="shared" si="43"/>
        <v>0</v>
      </c>
      <c r="N80" s="67"/>
      <c r="O80" s="67"/>
    </row>
    <row r="81" spans="1:15" ht="14.25" thickTop="1">
      <c r="A81" s="69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7"/>
      <c r="O81" s="67"/>
    </row>
    <row r="82" spans="1:15" ht="14.25" thickBot="1">
      <c r="A82" s="505" t="s">
        <v>62</v>
      </c>
      <c r="B82" s="505"/>
      <c r="C82" s="36">
        <f aca="true" t="shared" si="44" ref="C82:M82">+C72+C78</f>
        <v>0</v>
      </c>
      <c r="D82" s="36">
        <f t="shared" si="44"/>
        <v>0</v>
      </c>
      <c r="E82" s="36">
        <f>+E72+E78</f>
        <v>0</v>
      </c>
      <c r="F82" s="36">
        <f>+F72+F78</f>
        <v>0</v>
      </c>
      <c r="G82" s="36">
        <f>+G72+G78</f>
        <v>0</v>
      </c>
      <c r="H82" s="36">
        <f>+H72+H78</f>
        <v>0</v>
      </c>
      <c r="I82" s="36">
        <f>+I72+I78</f>
        <v>0</v>
      </c>
      <c r="J82" s="36">
        <f t="shared" si="44"/>
        <v>0</v>
      </c>
      <c r="K82" s="36">
        <f t="shared" si="44"/>
        <v>0</v>
      </c>
      <c r="L82" s="36">
        <f t="shared" si="44"/>
        <v>0</v>
      </c>
      <c r="M82" s="36">
        <f t="shared" si="44"/>
        <v>0</v>
      </c>
      <c r="N82" s="67"/>
      <c r="O82" s="67"/>
    </row>
    <row r="83" spans="1:15" ht="14.25" thickTop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67"/>
      <c r="O83" s="67"/>
    </row>
    <row r="84" spans="1:15" ht="14.25" thickBot="1">
      <c r="A84" s="505" t="s">
        <v>69</v>
      </c>
      <c r="B84" s="505"/>
      <c r="C84" s="36">
        <f aca="true" t="shared" si="45" ref="C84:M84">+C80+C82</f>
        <v>0</v>
      </c>
      <c r="D84" s="36">
        <f t="shared" si="45"/>
        <v>0</v>
      </c>
      <c r="E84" s="36">
        <f>+E80+E82</f>
        <v>0</v>
      </c>
      <c r="F84" s="36">
        <f>+F80+F82</f>
        <v>0</v>
      </c>
      <c r="G84" s="36">
        <f>+G80+G82</f>
        <v>0</v>
      </c>
      <c r="H84" s="36">
        <f>+H80+H82</f>
        <v>0</v>
      </c>
      <c r="I84" s="36">
        <f>+I80+I82</f>
        <v>0</v>
      </c>
      <c r="J84" s="36">
        <f t="shared" si="45"/>
        <v>0</v>
      </c>
      <c r="K84" s="36">
        <f t="shared" si="45"/>
        <v>0</v>
      </c>
      <c r="L84" s="36">
        <f t="shared" si="45"/>
        <v>0</v>
      </c>
      <c r="M84" s="36">
        <f t="shared" si="45"/>
        <v>0</v>
      </c>
      <c r="N84" s="67"/>
      <c r="O84" s="67"/>
    </row>
    <row r="85" spans="1:15" ht="14.25" thickTop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67"/>
      <c r="O85" s="67"/>
    </row>
    <row r="86" spans="1:15" ht="13.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67"/>
      <c r="O86" s="67"/>
    </row>
    <row r="87" spans="1:15" ht="14.25" thickBot="1">
      <c r="A87" s="77" t="s">
        <v>323</v>
      </c>
      <c r="B87" s="434">
        <v>0</v>
      </c>
      <c r="C87" s="36">
        <f aca="true" t="shared" si="46" ref="C87:M87">+$B$87*C84</f>
        <v>0</v>
      </c>
      <c r="D87" s="36">
        <f t="shared" si="46"/>
        <v>0</v>
      </c>
      <c r="E87" s="36">
        <f>+$B$87*E84</f>
        <v>0</v>
      </c>
      <c r="F87" s="36">
        <f>+$B$87*F84</f>
        <v>0</v>
      </c>
      <c r="G87" s="36">
        <f>+$B$87*G84</f>
        <v>0</v>
      </c>
      <c r="H87" s="36">
        <f>+$B$87*H84</f>
        <v>0</v>
      </c>
      <c r="I87" s="36">
        <f>+$B$87*I84</f>
        <v>0</v>
      </c>
      <c r="J87" s="36">
        <f t="shared" si="46"/>
        <v>0</v>
      </c>
      <c r="K87" s="36">
        <f t="shared" si="46"/>
        <v>0</v>
      </c>
      <c r="L87" s="36">
        <f t="shared" si="46"/>
        <v>0</v>
      </c>
      <c r="M87" s="36">
        <f t="shared" si="46"/>
        <v>0</v>
      </c>
      <c r="N87" s="67"/>
      <c r="O87" s="67"/>
    </row>
    <row r="88" spans="1:13" ht="14.25" thickTop="1">
      <c r="A88" s="57"/>
      <c r="B88" s="57" t="s">
        <v>440</v>
      </c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</row>
    <row r="89" spans="1:13" ht="13.5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</row>
    <row r="90" spans="1:13" ht="13.5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</row>
    <row r="91" spans="1:13" ht="13.5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</row>
    <row r="92" spans="1:13" ht="13.5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</row>
    <row r="93" spans="1:13" ht="13.5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</row>
    <row r="94" spans="1:13" ht="13.5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</row>
    <row r="95" spans="1:13" ht="13.5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</row>
    <row r="96" spans="1:13" ht="13.5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</row>
    <row r="97" spans="1:13" ht="13.5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</row>
    <row r="98" spans="1:13" ht="13.5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</row>
    <row r="99" spans="1:13" ht="13.5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</row>
    <row r="100" spans="1:13" ht="13.5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</row>
    <row r="101" spans="1:13" ht="13.5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</row>
    <row r="102" spans="1:13" ht="13.5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</row>
    <row r="103" spans="1:13" ht="13.5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</row>
    <row r="104" spans="1:13" ht="13.5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</row>
    <row r="105" spans="1:13" ht="13.5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</row>
    <row r="106" spans="1:13" ht="13.5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</row>
    <row r="107" spans="1:13" ht="13.5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</row>
    <row r="108" spans="1:13" ht="13.5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</row>
    <row r="109" spans="1:13" ht="13.5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</row>
    <row r="110" spans="1:13" ht="13.5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</row>
    <row r="111" spans="1:13" ht="13.5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</row>
    <row r="112" spans="1:13" ht="13.5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</row>
    <row r="113" spans="1:13" ht="13.5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</row>
    <row r="114" spans="1:13" ht="13.5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</row>
    <row r="115" spans="1:13" ht="13.5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</row>
    <row r="116" spans="1:13" ht="13.5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</row>
    <row r="117" spans="1:13" ht="13.5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</row>
    <row r="118" spans="1:13" ht="13.5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</row>
    <row r="119" spans="1:13" ht="13.5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</row>
    <row r="120" spans="1:13" ht="13.5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</row>
    <row r="121" spans="1:13" ht="13.5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</row>
    <row r="122" spans="1:13" ht="13.5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</row>
    <row r="123" spans="1:13" ht="13.5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</row>
    <row r="124" spans="1:13" ht="13.5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</row>
    <row r="125" spans="1:13" ht="13.5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</row>
    <row r="126" spans="1:13" ht="13.5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</row>
    <row r="127" spans="1:13" ht="13.5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</row>
    <row r="128" spans="1:13" ht="13.5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</row>
    <row r="129" spans="1:13" ht="13.5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</row>
    <row r="130" spans="1:13" ht="13.5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</row>
    <row r="131" spans="1:13" ht="13.5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</row>
    <row r="132" spans="1:13" ht="13.5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</row>
    <row r="133" spans="1:13" ht="13.5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</row>
    <row r="134" spans="1:13" ht="13.5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</row>
    <row r="135" spans="1:13" ht="13.5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</row>
    <row r="136" spans="1:13" ht="13.5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</row>
    <row r="137" spans="1:13" ht="13.5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</row>
    <row r="138" spans="1:13" ht="13.5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</row>
    <row r="139" spans="1:13" ht="13.5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</row>
    <row r="140" spans="1:13" ht="13.5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</row>
    <row r="141" spans="1:13" ht="13.5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</row>
    <row r="142" spans="1:13" ht="13.5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</row>
    <row r="143" spans="1:13" ht="13.5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</row>
    <row r="144" spans="1:13" ht="13.5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</row>
    <row r="145" spans="1:13" ht="13.5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</row>
    <row r="146" spans="1:13" ht="13.5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</row>
    <row r="147" spans="1:13" ht="13.5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</row>
    <row r="148" spans="1:13" ht="13.5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</row>
    <row r="149" spans="1:13" ht="13.5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</row>
    <row r="150" spans="1:13" ht="13.5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</row>
    <row r="151" spans="1:13" ht="13.5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</row>
    <row r="152" spans="1:13" ht="13.5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</row>
    <row r="153" spans="1:13" ht="13.5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</row>
    <row r="154" spans="1:13" ht="13.5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</row>
    <row r="155" spans="1:13" ht="13.5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</row>
    <row r="156" spans="1:13" ht="13.5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</row>
    <row r="157" spans="1:13" ht="13.5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</row>
    <row r="158" spans="1:13" ht="13.5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</row>
    <row r="159" spans="1:13" ht="13.5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</row>
    <row r="160" spans="1:13" ht="13.5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</row>
    <row r="161" spans="1:13" ht="13.5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</row>
    <row r="162" spans="1:13" ht="13.5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</row>
    <row r="163" spans="1:13" ht="13.5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</row>
    <row r="164" spans="1:13" ht="13.5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</row>
    <row r="165" spans="1:13" ht="13.5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</row>
    <row r="166" spans="1:13" ht="13.5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</row>
    <row r="167" spans="1:13" ht="13.5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</row>
    <row r="168" spans="1:13" ht="13.5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</row>
    <row r="169" spans="1:13" ht="13.5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</row>
    <row r="170" spans="1:13" ht="13.5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</row>
    <row r="171" spans="1:13" ht="13.5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</row>
    <row r="172" spans="1:13" ht="13.5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</row>
    <row r="173" spans="1:13" ht="13.5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</row>
    <row r="174" spans="1:13" ht="13.5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</row>
    <row r="175" spans="1:13" ht="13.5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</row>
    <row r="176" spans="1:13" ht="13.5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</row>
    <row r="177" spans="1:13" ht="13.5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</row>
    <row r="178" spans="1:13" ht="13.5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</row>
    <row r="179" spans="1:13" ht="13.5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</row>
    <row r="180" spans="1:13" ht="13.5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</row>
    <row r="181" spans="1:13" ht="13.5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</row>
    <row r="182" spans="1:13" ht="13.5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</row>
    <row r="183" spans="1:13" ht="13.5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</row>
    <row r="184" spans="1:13" ht="13.5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</row>
    <row r="185" spans="1:13" ht="13.5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</row>
    <row r="186" spans="1:13" ht="13.5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</row>
    <row r="187" spans="1:13" ht="13.5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</row>
    <row r="188" spans="1:13" ht="13.5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</row>
    <row r="189" spans="1:13" ht="13.5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</row>
    <row r="190" spans="1:13" ht="13.5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</row>
    <row r="191" spans="1:13" ht="13.5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</row>
    <row r="192" spans="1:13" ht="13.5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</row>
    <row r="193" spans="1:13" ht="13.5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</row>
    <row r="194" spans="1:13" ht="13.5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</row>
    <row r="195" spans="1:13" ht="13.5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</row>
    <row r="196" spans="1:13" ht="13.5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</row>
    <row r="197" spans="1:13" ht="13.5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</row>
    <row r="198" spans="1:13" ht="13.5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</row>
    <row r="199" spans="1:13" ht="13.5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</row>
    <row r="200" spans="1:13" ht="13.5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</row>
    <row r="201" spans="1:13" ht="13.5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</row>
    <row r="202" spans="1:13" ht="13.5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</row>
    <row r="203" spans="1:13" ht="13.5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</row>
  </sheetData>
  <sheetProtection password="8318" sheet="1"/>
  <mergeCells count="33">
    <mergeCell ref="A4:M4"/>
    <mergeCell ref="A29:B29"/>
    <mergeCell ref="A12:B12"/>
    <mergeCell ref="A8:B8"/>
    <mergeCell ref="A13:B13"/>
    <mergeCell ref="A17:B17"/>
    <mergeCell ref="A21:B21"/>
    <mergeCell ref="A25:B25"/>
    <mergeCell ref="A84:B84"/>
    <mergeCell ref="A45:B45"/>
    <mergeCell ref="A69:B69"/>
    <mergeCell ref="A75:B75"/>
    <mergeCell ref="A82:B82"/>
    <mergeCell ref="A57:B57"/>
    <mergeCell ref="A76:B76"/>
    <mergeCell ref="A77:B77"/>
    <mergeCell ref="A50:B50"/>
    <mergeCell ref="A64:B64"/>
    <mergeCell ref="A58:B58"/>
    <mergeCell ref="A46:B46"/>
    <mergeCell ref="A48:B48"/>
    <mergeCell ref="A80:B80"/>
    <mergeCell ref="A66:B66"/>
    <mergeCell ref="A70:B70"/>
    <mergeCell ref="A71:B71"/>
    <mergeCell ref="A60:B60"/>
    <mergeCell ref="A62:B62"/>
    <mergeCell ref="A32:B32"/>
    <mergeCell ref="A41:B41"/>
    <mergeCell ref="A54:B54"/>
    <mergeCell ref="A33:B33"/>
    <mergeCell ref="A37:B37"/>
    <mergeCell ref="A52:B52"/>
  </mergeCells>
  <printOptions horizontalCentered="1"/>
  <pageMargins left="0.75" right="0.75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rowBreaks count="1" manualBreakCount="1">
    <brk id="56" max="255" man="1"/>
  </rowBreaks>
  <ignoredErrors>
    <ignoredError sqref="B72 B78 D8 D50 D52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lha2"/>
  <dimension ref="A1:N140"/>
  <sheetViews>
    <sheetView showGridLines="0" showZeros="0" zoomScalePageLayoutView="0" workbookViewId="0" topLeftCell="A1">
      <selection activeCell="B10" sqref="B10"/>
    </sheetView>
  </sheetViews>
  <sheetFormatPr defaultColWidth="8.7109375" defaultRowHeight="12.75"/>
  <cols>
    <col min="1" max="1" width="30.7109375" style="50" customWidth="1"/>
    <col min="2" max="2" width="7.8515625" style="50" customWidth="1"/>
    <col min="3" max="3" width="8.7109375" style="50" customWidth="1"/>
    <col min="4" max="4" width="8.57421875" style="50" customWidth="1"/>
    <col min="5" max="7" width="7.8515625" style="50" customWidth="1"/>
    <col min="8" max="13" width="8.421875" style="50" customWidth="1"/>
    <col min="14" max="19" width="11.421875" style="50" customWidth="1"/>
    <col min="20" max="16384" width="8.7109375" style="50" customWidth="1"/>
  </cols>
  <sheetData>
    <row r="1" spans="1:13" ht="13.5">
      <c r="A1" s="46"/>
      <c r="B1" s="46"/>
      <c r="C1" s="47"/>
      <c r="D1" s="47"/>
      <c r="E1" s="47"/>
      <c r="F1" s="47"/>
      <c r="G1" s="47"/>
      <c r="H1" s="47"/>
      <c r="I1" s="47"/>
      <c r="J1" s="47"/>
      <c r="K1" s="47"/>
      <c r="L1" s="48" t="s">
        <v>18</v>
      </c>
      <c r="M1" s="49" t="str">
        <f>+Pressupostos!E1</f>
        <v>XPTO SA</v>
      </c>
    </row>
    <row r="2" spans="1:14" ht="13.5">
      <c r="A2" s="51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52" t="str">
        <f>+Pressupostos!B9</f>
        <v>Euros</v>
      </c>
      <c r="N2" s="67"/>
    </row>
    <row r="3" spans="1:14" ht="13.5">
      <c r="A3" s="51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52"/>
      <c r="N3" s="67"/>
    </row>
    <row r="4" spans="1:14" ht="15.75">
      <c r="A4" s="508" t="s">
        <v>71</v>
      </c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67"/>
    </row>
    <row r="5" spans="1:14" ht="13.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67"/>
    </row>
    <row r="6" spans="1:14" ht="13.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67"/>
    </row>
    <row r="7" spans="1:14" ht="25.5">
      <c r="A7" s="81" t="s">
        <v>20</v>
      </c>
      <c r="B7" s="82" t="s">
        <v>66</v>
      </c>
      <c r="C7" s="83">
        <f>+VN!C8</f>
        <v>2016</v>
      </c>
      <c r="D7" s="83">
        <f>+VN!D8</f>
        <v>2017</v>
      </c>
      <c r="E7" s="83">
        <f>+VN!E8</f>
        <v>2018</v>
      </c>
      <c r="F7" s="83">
        <f>+VN!F8</f>
        <v>2019</v>
      </c>
      <c r="G7" s="83">
        <f>+VN!G8</f>
        <v>2020</v>
      </c>
      <c r="H7" s="83">
        <f>+VN!H8</f>
        <v>2021</v>
      </c>
      <c r="I7" s="83">
        <f>+VN!I8</f>
        <v>2022</v>
      </c>
      <c r="J7" s="83">
        <f>+VN!J8</f>
        <v>2023</v>
      </c>
      <c r="K7" s="83">
        <f>+VN!K8</f>
        <v>2024</v>
      </c>
      <c r="L7" s="83">
        <f>+VN!L8</f>
        <v>2025</v>
      </c>
      <c r="M7" s="83">
        <f>+VN!M8</f>
        <v>2026</v>
      </c>
      <c r="N7" s="67"/>
    </row>
    <row r="8" spans="1:14" ht="13.5">
      <c r="A8" s="81" t="s">
        <v>215</v>
      </c>
      <c r="B8" s="383"/>
      <c r="C8" s="384">
        <f aca="true" t="shared" si="0" ref="C8:M8">+SUM(C9:C12)</f>
        <v>0</v>
      </c>
      <c r="D8" s="384">
        <f t="shared" si="0"/>
        <v>0</v>
      </c>
      <c r="E8" s="384">
        <f aca="true" t="shared" si="1" ref="E8:J8">+SUM(E9:E12)</f>
        <v>0</v>
      </c>
      <c r="F8" s="384">
        <f t="shared" si="1"/>
        <v>0</v>
      </c>
      <c r="G8" s="384">
        <f t="shared" si="1"/>
        <v>0</v>
      </c>
      <c r="H8" s="384">
        <f t="shared" si="1"/>
        <v>0</v>
      </c>
      <c r="I8" s="384">
        <f t="shared" si="1"/>
        <v>0</v>
      </c>
      <c r="J8" s="384">
        <f t="shared" si="1"/>
        <v>0</v>
      </c>
      <c r="K8" s="384">
        <f t="shared" si="0"/>
        <v>0</v>
      </c>
      <c r="L8" s="384">
        <f t="shared" si="0"/>
        <v>0</v>
      </c>
      <c r="M8" s="384">
        <f t="shared" si="0"/>
        <v>0</v>
      </c>
      <c r="N8" s="67"/>
    </row>
    <row r="9" spans="1:14" ht="13.5">
      <c r="A9" s="84" t="str">
        <f>+VN!A13</f>
        <v>Produto A *</v>
      </c>
      <c r="B9" s="32"/>
      <c r="C9" s="385">
        <f>VN!C13*(1-CMVMC!$B$9)</f>
        <v>0</v>
      </c>
      <c r="D9" s="385">
        <f>VN!D13*(1-CMVMC!$B$9)</f>
        <v>0</v>
      </c>
      <c r="E9" s="385">
        <f>VN!E13*(1-CMVMC!$B$9)</f>
        <v>0</v>
      </c>
      <c r="F9" s="385">
        <f>VN!F13*(1-CMVMC!$B$9)</f>
        <v>0</v>
      </c>
      <c r="G9" s="385">
        <f>VN!G13*(1-CMVMC!$B$9)</f>
        <v>0</v>
      </c>
      <c r="H9" s="385">
        <f>VN!H13*(1-CMVMC!$B$9)</f>
        <v>0</v>
      </c>
      <c r="I9" s="385">
        <f>VN!I13*(1-CMVMC!$B$9)</f>
        <v>0</v>
      </c>
      <c r="J9" s="385">
        <f>VN!J13*(1-CMVMC!$B$9)</f>
        <v>0</v>
      </c>
      <c r="K9" s="385">
        <f>VN!K13*(1-CMVMC!$B$9)</f>
        <v>0</v>
      </c>
      <c r="L9" s="385">
        <f>VN!L13*(1-CMVMC!$B$9)</f>
        <v>0</v>
      </c>
      <c r="M9" s="385">
        <f>VN!M13*(1-CMVMC!$B$9)</f>
        <v>0</v>
      </c>
      <c r="N9" s="67"/>
    </row>
    <row r="10" spans="1:14" ht="13.5">
      <c r="A10" s="84" t="str">
        <f>+VN!A17</f>
        <v>Produto B *</v>
      </c>
      <c r="B10" s="32"/>
      <c r="C10" s="385">
        <f>VN!C17*(1-CMVMC!$B$10)</f>
        <v>0</v>
      </c>
      <c r="D10" s="385">
        <f>VN!D17*(1-CMVMC!$B$10)</f>
        <v>0</v>
      </c>
      <c r="E10" s="385">
        <f>VN!E17*(1-CMVMC!$B$10)</f>
        <v>0</v>
      </c>
      <c r="F10" s="385">
        <f>VN!F17*(1-CMVMC!$B$10)</f>
        <v>0</v>
      </c>
      <c r="G10" s="385">
        <f>VN!G17*(1-CMVMC!$B$10)</f>
        <v>0</v>
      </c>
      <c r="H10" s="385">
        <f>VN!H17*(1-CMVMC!$B$10)</f>
        <v>0</v>
      </c>
      <c r="I10" s="385">
        <f>VN!I17*(1-CMVMC!$B$10)</f>
        <v>0</v>
      </c>
      <c r="J10" s="385">
        <f>VN!J17*(1-CMVMC!$B$10)</f>
        <v>0</v>
      </c>
      <c r="K10" s="385">
        <f>VN!K17*(1-CMVMC!$B$10)</f>
        <v>0</v>
      </c>
      <c r="L10" s="385">
        <f>VN!L17*(1-CMVMC!$B$10)</f>
        <v>0</v>
      </c>
      <c r="M10" s="385">
        <f>VN!M17*(1-CMVMC!$B$10)</f>
        <v>0</v>
      </c>
      <c r="N10" s="67"/>
    </row>
    <row r="11" spans="1:14" ht="13.5">
      <c r="A11" s="84" t="str">
        <f>+VN!A21</f>
        <v>Produto C *</v>
      </c>
      <c r="B11" s="32"/>
      <c r="C11" s="385">
        <f>VN!C21*(1-CMVMC!$B$11)</f>
        <v>0</v>
      </c>
      <c r="D11" s="385">
        <f>VN!D21*(1-CMVMC!$B$11)</f>
        <v>0</v>
      </c>
      <c r="E11" s="385">
        <f>VN!E21*(1-CMVMC!$B$11)</f>
        <v>0</v>
      </c>
      <c r="F11" s="385">
        <f>VN!F21*(1-CMVMC!$B$11)</f>
        <v>0</v>
      </c>
      <c r="G11" s="385">
        <f>VN!G21*(1-CMVMC!$B$11)</f>
        <v>0</v>
      </c>
      <c r="H11" s="385">
        <f>VN!H21*(1-CMVMC!$B$11)</f>
        <v>0</v>
      </c>
      <c r="I11" s="385">
        <f>VN!I21*(1-CMVMC!$B$11)</f>
        <v>0</v>
      </c>
      <c r="J11" s="385">
        <f>VN!J21*(1-CMVMC!$B$11)</f>
        <v>0</v>
      </c>
      <c r="K11" s="385">
        <f>VN!K21*(1-CMVMC!$B$11)</f>
        <v>0</v>
      </c>
      <c r="L11" s="385">
        <f>VN!L21*(1-CMVMC!$B$11)</f>
        <v>0</v>
      </c>
      <c r="M11" s="385">
        <f>VN!M21*(1-CMVMC!$B$11)</f>
        <v>0</v>
      </c>
      <c r="N11" s="67"/>
    </row>
    <row r="12" spans="1:14" ht="13.5">
      <c r="A12" s="84" t="str">
        <f>+VN!A25</f>
        <v>Produto D *</v>
      </c>
      <c r="B12" s="32"/>
      <c r="C12" s="385">
        <f>VN!C25*(1-CMVMC!$B$12)</f>
        <v>0</v>
      </c>
      <c r="D12" s="385">
        <f>VN!D25*(1-CMVMC!$B$12)</f>
        <v>0</v>
      </c>
      <c r="E12" s="385">
        <f>VN!E25*(1-CMVMC!$B$12)</f>
        <v>0</v>
      </c>
      <c r="F12" s="385">
        <f>VN!F25*(1-CMVMC!$B$12)</f>
        <v>0</v>
      </c>
      <c r="G12" s="385">
        <f>VN!G25*(1-CMVMC!$B$12)</f>
        <v>0</v>
      </c>
      <c r="H12" s="385">
        <f>VN!H25*(1-CMVMC!$B$12)</f>
        <v>0</v>
      </c>
      <c r="I12" s="385">
        <f>VN!I25*(1-CMVMC!$B$12)</f>
        <v>0</v>
      </c>
      <c r="J12" s="385">
        <f>VN!J25*(1-CMVMC!$B$12)</f>
        <v>0</v>
      </c>
      <c r="K12" s="385">
        <f>VN!K25*(1-CMVMC!$B$12)</f>
        <v>0</v>
      </c>
      <c r="L12" s="385">
        <f>VN!L25*(1-CMVMC!$B$12)</f>
        <v>0</v>
      </c>
      <c r="M12" s="385">
        <f>VN!M25*(1-CMVMC!$B$12)</f>
        <v>0</v>
      </c>
      <c r="N12" s="67"/>
    </row>
    <row r="13" spans="1:14" ht="13.5">
      <c r="A13" s="81" t="s">
        <v>216</v>
      </c>
      <c r="B13" s="85"/>
      <c r="C13" s="118">
        <f aca="true" t="shared" si="2" ref="C13:M13">+C15+C14</f>
        <v>0</v>
      </c>
      <c r="D13" s="118">
        <f t="shared" si="2"/>
        <v>0</v>
      </c>
      <c r="E13" s="118">
        <f aca="true" t="shared" si="3" ref="E13:J13">+E15+E14</f>
        <v>0</v>
      </c>
      <c r="F13" s="118">
        <f t="shared" si="3"/>
        <v>0</v>
      </c>
      <c r="G13" s="118">
        <f t="shared" si="3"/>
        <v>0</v>
      </c>
      <c r="H13" s="118">
        <f t="shared" si="3"/>
        <v>0</v>
      </c>
      <c r="I13" s="118">
        <f t="shared" si="3"/>
        <v>0</v>
      </c>
      <c r="J13" s="118">
        <f t="shared" si="3"/>
        <v>0</v>
      </c>
      <c r="K13" s="118">
        <f t="shared" si="2"/>
        <v>0</v>
      </c>
      <c r="L13" s="118">
        <f t="shared" si="2"/>
        <v>0</v>
      </c>
      <c r="M13" s="118">
        <f t="shared" si="2"/>
        <v>0</v>
      </c>
      <c r="N13" s="67"/>
    </row>
    <row r="14" spans="1:14" ht="13.5">
      <c r="A14" s="84" t="str">
        <f>+VN!A33</f>
        <v>Produto A *</v>
      </c>
      <c r="B14" s="32"/>
      <c r="C14" s="385">
        <f>VN!C33*(1-CMVMC!$B$14)</f>
        <v>0</v>
      </c>
      <c r="D14" s="385">
        <f>VN!D33*(1-CMVMC!$B$14)</f>
        <v>0</v>
      </c>
      <c r="E14" s="385">
        <f>VN!E33*(1-CMVMC!$B$14)</f>
        <v>0</v>
      </c>
      <c r="F14" s="385">
        <f>VN!F33*(1-CMVMC!$B$14)</f>
        <v>0</v>
      </c>
      <c r="G14" s="385">
        <f>VN!G33*(1-CMVMC!$B$14)</f>
        <v>0</v>
      </c>
      <c r="H14" s="385">
        <f>VN!H33*(1-CMVMC!$B$14)</f>
        <v>0</v>
      </c>
      <c r="I14" s="385">
        <f>VN!I33*(1-CMVMC!$B$14)</f>
        <v>0</v>
      </c>
      <c r="J14" s="385">
        <f>VN!J33*(1-CMVMC!$B$14)</f>
        <v>0</v>
      </c>
      <c r="K14" s="385">
        <f>VN!K33*(1-CMVMC!$B$14)</f>
        <v>0</v>
      </c>
      <c r="L14" s="385">
        <f>VN!L33*(1-CMVMC!$B$14)</f>
        <v>0</v>
      </c>
      <c r="M14" s="385">
        <f>VN!M33*(1-CMVMC!$B$14)</f>
        <v>0</v>
      </c>
      <c r="N14" s="67"/>
    </row>
    <row r="15" spans="1:14" ht="13.5">
      <c r="A15" s="84" t="str">
        <f>+VN!A37</f>
        <v>Produto B *</v>
      </c>
      <c r="B15" s="32"/>
      <c r="C15" s="385">
        <f>VN!C37*(1-CMVMC!$B$15)</f>
        <v>0</v>
      </c>
      <c r="D15" s="385">
        <f>VN!D37*(1-CMVMC!$B$15)</f>
        <v>0</v>
      </c>
      <c r="E15" s="385">
        <f>VN!E37*(1-CMVMC!$B$15)</f>
        <v>0</v>
      </c>
      <c r="F15" s="385">
        <f>VN!F37*(1-CMVMC!$B$15)</f>
        <v>0</v>
      </c>
      <c r="G15" s="385">
        <f>VN!G37*(1-CMVMC!$B$15)</f>
        <v>0</v>
      </c>
      <c r="H15" s="385">
        <f>VN!H37*(1-CMVMC!$B$15)</f>
        <v>0</v>
      </c>
      <c r="I15" s="385">
        <f>VN!I37*(1-CMVMC!$B$15)</f>
        <v>0</v>
      </c>
      <c r="J15" s="385">
        <f>VN!J37*(1-CMVMC!$B$15)</f>
        <v>0</v>
      </c>
      <c r="K15" s="385">
        <f>VN!K37*(1-CMVMC!$B$15)</f>
        <v>0</v>
      </c>
      <c r="L15" s="385">
        <f>VN!L37*(1-CMVMC!$B$15)</f>
        <v>0</v>
      </c>
      <c r="M15" s="385">
        <f>VN!M37*(1-CMVMC!$B$15)</f>
        <v>0</v>
      </c>
      <c r="N15" s="67"/>
    </row>
    <row r="16" spans="1:14" ht="14.25" thickBot="1">
      <c r="A16" s="502" t="s">
        <v>67</v>
      </c>
      <c r="B16" s="502"/>
      <c r="C16" s="386">
        <f aca="true" t="shared" si="4" ref="C16:M16">+C8+C13</f>
        <v>0</v>
      </c>
      <c r="D16" s="386">
        <f t="shared" si="4"/>
        <v>0</v>
      </c>
      <c r="E16" s="386">
        <f aca="true" t="shared" si="5" ref="E16:J16">+E8+E13</f>
        <v>0</v>
      </c>
      <c r="F16" s="386">
        <f t="shared" si="5"/>
        <v>0</v>
      </c>
      <c r="G16" s="386">
        <f t="shared" si="5"/>
        <v>0</v>
      </c>
      <c r="H16" s="386">
        <f t="shared" si="5"/>
        <v>0</v>
      </c>
      <c r="I16" s="386">
        <f t="shared" si="5"/>
        <v>0</v>
      </c>
      <c r="J16" s="386">
        <f t="shared" si="5"/>
        <v>0</v>
      </c>
      <c r="K16" s="386">
        <f t="shared" si="4"/>
        <v>0</v>
      </c>
      <c r="L16" s="386">
        <f t="shared" si="4"/>
        <v>0</v>
      </c>
      <c r="M16" s="386">
        <f t="shared" si="4"/>
        <v>0</v>
      </c>
      <c r="N16" s="67"/>
    </row>
    <row r="17" spans="1:14" ht="14.25" thickTop="1">
      <c r="A17" s="60"/>
      <c r="B17" s="60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7"/>
    </row>
    <row r="18" spans="1:14" ht="14.25" thickBot="1">
      <c r="A18" s="62" t="s">
        <v>62</v>
      </c>
      <c r="B18" s="80">
        <f>+Pressupostos!B20</f>
        <v>0.23</v>
      </c>
      <c r="C18" s="86">
        <f aca="true" t="shared" si="6" ref="C18:M18">+C8*$B$18</f>
        <v>0</v>
      </c>
      <c r="D18" s="86">
        <f t="shared" si="6"/>
        <v>0</v>
      </c>
      <c r="E18" s="86">
        <f aca="true" t="shared" si="7" ref="E18:J18">+E8*$B$18</f>
        <v>0</v>
      </c>
      <c r="F18" s="86">
        <f t="shared" si="7"/>
        <v>0</v>
      </c>
      <c r="G18" s="86">
        <f t="shared" si="7"/>
        <v>0</v>
      </c>
      <c r="H18" s="86">
        <f t="shared" si="7"/>
        <v>0</v>
      </c>
      <c r="I18" s="86">
        <f t="shared" si="7"/>
        <v>0</v>
      </c>
      <c r="J18" s="86">
        <f t="shared" si="7"/>
        <v>0</v>
      </c>
      <c r="K18" s="86">
        <f t="shared" si="6"/>
        <v>0</v>
      </c>
      <c r="L18" s="86">
        <f t="shared" si="6"/>
        <v>0</v>
      </c>
      <c r="M18" s="86">
        <f t="shared" si="6"/>
        <v>0</v>
      </c>
      <c r="N18" s="67"/>
    </row>
    <row r="19" spans="1:14" ht="14.25" thickTop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67"/>
    </row>
    <row r="20" spans="1:14" ht="14.25" thickBot="1">
      <c r="A20" s="502" t="s">
        <v>68</v>
      </c>
      <c r="B20" s="502"/>
      <c r="C20" s="36">
        <f aca="true" t="shared" si="8" ref="C20:M20">+C16+C18</f>
        <v>0</v>
      </c>
      <c r="D20" s="36">
        <f t="shared" si="8"/>
        <v>0</v>
      </c>
      <c r="E20" s="36">
        <f aca="true" t="shared" si="9" ref="E20:J20">+E16+E18</f>
        <v>0</v>
      </c>
      <c r="F20" s="36">
        <f t="shared" si="9"/>
        <v>0</v>
      </c>
      <c r="G20" s="36">
        <f t="shared" si="9"/>
        <v>0</v>
      </c>
      <c r="H20" s="36">
        <f t="shared" si="9"/>
        <v>0</v>
      </c>
      <c r="I20" s="36">
        <f t="shared" si="9"/>
        <v>0</v>
      </c>
      <c r="J20" s="36">
        <f t="shared" si="9"/>
        <v>0</v>
      </c>
      <c r="K20" s="36">
        <f t="shared" si="8"/>
        <v>0</v>
      </c>
      <c r="L20" s="36">
        <f t="shared" si="8"/>
        <v>0</v>
      </c>
      <c r="M20" s="36">
        <f t="shared" si="8"/>
        <v>0</v>
      </c>
      <c r="N20" s="67"/>
    </row>
    <row r="21" spans="1:14" ht="14.25" thickTop="1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67"/>
    </row>
    <row r="22" spans="1:14" ht="13.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67"/>
    </row>
    <row r="23" spans="1:14" ht="13.5">
      <c r="A23" s="87" t="s">
        <v>152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67"/>
    </row>
    <row r="24" spans="1:14" ht="13.5">
      <c r="A24" s="88" t="s">
        <v>217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67"/>
    </row>
    <row r="25" spans="1:14" ht="13.5">
      <c r="A25" s="88" t="s">
        <v>153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67"/>
    </row>
    <row r="26" spans="1:14" ht="13.5">
      <c r="A26" s="88" t="s">
        <v>190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67"/>
    </row>
    <row r="27" spans="1:14" ht="13.5">
      <c r="A27" s="88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67"/>
    </row>
    <row r="28" spans="1:14" ht="13.5">
      <c r="A28" s="87" t="s">
        <v>191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67"/>
    </row>
    <row r="29" spans="1:14" ht="13.5">
      <c r="A29" s="89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67"/>
    </row>
    <row r="30" spans="1:13" ht="13.5">
      <c r="A30" s="90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</row>
    <row r="31" spans="1:13" ht="13.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</row>
    <row r="32" spans="1:13" ht="13.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</row>
    <row r="33" spans="1:13" ht="13.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</row>
    <row r="34" spans="1:13" ht="13.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</row>
    <row r="35" spans="1:13" ht="13.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</row>
    <row r="36" spans="1:13" ht="13.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</row>
    <row r="37" spans="1:13" ht="13.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</row>
    <row r="38" spans="1:13" ht="13.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</row>
    <row r="39" spans="1:13" ht="13.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</row>
    <row r="40" spans="1:13" ht="13.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</row>
    <row r="41" spans="1:13" ht="13.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</row>
    <row r="42" spans="1:13" ht="13.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</row>
    <row r="43" spans="1:13" ht="13.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</row>
    <row r="44" spans="1:13" ht="13.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</row>
    <row r="45" spans="1:13" ht="13.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</row>
    <row r="46" spans="1:13" ht="13.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</row>
    <row r="47" spans="1:13" ht="13.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</row>
    <row r="48" spans="1:13" ht="13.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</row>
    <row r="49" spans="1:13" ht="13.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</row>
    <row r="50" spans="1:13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</row>
    <row r="51" spans="1:13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</row>
    <row r="52" spans="1:13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</row>
    <row r="53" spans="1:13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</row>
    <row r="54" spans="1:13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</row>
    <row r="55" spans="1:13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</row>
    <row r="56" spans="1:13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</row>
    <row r="57" spans="1:13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</row>
    <row r="58" spans="1:13" ht="13.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</row>
    <row r="59" spans="1:13" ht="13.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</row>
    <row r="60" spans="1:13" ht="13.5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</row>
    <row r="61" spans="1:13" ht="13.5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</row>
    <row r="62" spans="1:13" ht="13.5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</row>
    <row r="63" spans="1:13" ht="13.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</row>
    <row r="64" spans="1:13" ht="13.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</row>
    <row r="65" spans="1:13" ht="13.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  <row r="66" spans="1:13" ht="13.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</row>
    <row r="67" spans="1:13" ht="13.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</row>
    <row r="68" spans="1:13" ht="13.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</row>
    <row r="69" spans="1:13" ht="13.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</row>
    <row r="70" spans="1:13" ht="13.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</row>
    <row r="71" spans="1:13" ht="13.5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</row>
    <row r="72" spans="1:13" ht="13.5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</row>
    <row r="73" spans="1:13" ht="13.5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</row>
    <row r="74" spans="1:13" ht="13.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</row>
    <row r="75" spans="1:13" ht="13.5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</row>
    <row r="76" spans="1:13" ht="13.5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</row>
    <row r="77" spans="1:13" ht="13.5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</row>
    <row r="78" spans="1:13" ht="13.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</row>
    <row r="79" spans="1:13" ht="13.5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</row>
    <row r="80" spans="1:13" ht="13.5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</row>
    <row r="81" spans="1:13" ht="13.5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</row>
    <row r="82" spans="1:13" ht="13.5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</row>
    <row r="83" spans="1:13" ht="13.5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</row>
    <row r="84" spans="1:13" ht="13.5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</row>
    <row r="85" spans="1:13" ht="13.5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</row>
    <row r="86" spans="1:13" ht="13.5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</row>
    <row r="87" spans="1:13" ht="13.5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</row>
    <row r="88" spans="1:13" ht="13.5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</row>
    <row r="89" spans="1:13" ht="13.5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</row>
    <row r="90" spans="1:13" ht="13.5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</row>
    <row r="91" spans="1:13" ht="13.5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</row>
    <row r="92" spans="1:13" ht="13.5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</row>
    <row r="93" spans="1:13" ht="13.5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</row>
    <row r="94" spans="1:13" ht="13.5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</row>
    <row r="95" spans="1:13" ht="13.5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</row>
    <row r="96" spans="1:13" ht="13.5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</row>
    <row r="97" spans="1:13" ht="13.5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</row>
    <row r="98" spans="1:13" ht="13.5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</row>
    <row r="99" spans="1:13" ht="13.5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</row>
    <row r="100" spans="1:13" ht="13.5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</row>
    <row r="101" spans="1:13" ht="13.5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</row>
    <row r="102" spans="1:13" ht="13.5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</row>
    <row r="103" spans="1:13" ht="13.5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</row>
    <row r="104" spans="1:13" ht="13.5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</row>
    <row r="105" spans="1:13" ht="13.5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</row>
    <row r="106" spans="1:13" ht="13.5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</row>
    <row r="107" spans="1:13" ht="13.5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</row>
    <row r="108" spans="1:13" ht="13.5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</row>
    <row r="109" spans="1:13" ht="13.5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</row>
    <row r="110" spans="1:13" ht="13.5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</row>
    <row r="111" spans="1:13" ht="13.5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</row>
    <row r="112" spans="1:13" ht="13.5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</row>
    <row r="113" spans="1:13" ht="13.5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</row>
    <row r="114" spans="1:13" ht="13.5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</row>
    <row r="115" spans="1:13" ht="13.5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</row>
    <row r="116" spans="1:13" ht="13.5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</row>
    <row r="117" spans="1:13" ht="13.5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</row>
    <row r="118" spans="1:13" ht="13.5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</row>
    <row r="119" spans="1:13" ht="13.5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</row>
    <row r="120" spans="1:13" ht="13.5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</row>
    <row r="121" spans="1:13" ht="13.5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</row>
    <row r="122" spans="1:13" ht="13.5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</row>
    <row r="123" spans="1:13" ht="13.5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</row>
    <row r="124" spans="1:13" ht="13.5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</row>
    <row r="125" spans="1:13" ht="13.5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</row>
    <row r="126" spans="1:13" ht="13.5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</row>
    <row r="127" spans="1:13" ht="13.5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</row>
    <row r="128" spans="1:13" ht="13.5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</row>
    <row r="129" spans="1:13" ht="13.5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</row>
    <row r="130" spans="1:13" ht="13.5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</row>
    <row r="131" spans="1:13" ht="13.5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</row>
    <row r="132" spans="1:13" ht="13.5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</row>
    <row r="133" spans="1:13" ht="13.5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</row>
    <row r="134" spans="1:13" ht="13.5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</row>
    <row r="135" spans="1:13" ht="13.5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</row>
    <row r="136" spans="1:13" ht="13.5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</row>
    <row r="137" spans="1:13" ht="13.5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</row>
    <row r="138" spans="1:13" ht="13.5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</row>
    <row r="139" spans="1:13" ht="13.5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</row>
    <row r="140" spans="1:13" ht="13.5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</row>
  </sheetData>
  <sheetProtection password="8318" sheet="1"/>
  <mergeCells count="3">
    <mergeCell ref="A4:M4"/>
    <mergeCell ref="A16:B16"/>
    <mergeCell ref="A20:B20"/>
  </mergeCells>
  <printOptions horizontalCentered="1"/>
  <pageMargins left="0.75" right="0.75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P53"/>
  <sheetViews>
    <sheetView showGridLines="0" showZeros="0" zoomScalePageLayoutView="0" workbookViewId="0" topLeftCell="A1">
      <selection activeCell="M24" sqref="M24"/>
    </sheetView>
  </sheetViews>
  <sheetFormatPr defaultColWidth="8.7109375" defaultRowHeight="12.75"/>
  <cols>
    <col min="1" max="1" width="25.7109375" style="67" customWidth="1"/>
    <col min="2" max="2" width="6.421875" style="67" customWidth="1"/>
    <col min="3" max="4" width="6.421875" style="442" customWidth="1"/>
    <col min="5" max="5" width="8.28125" style="67" bestFit="1" customWidth="1"/>
    <col min="6" max="16" width="9.140625" style="67" bestFit="1" customWidth="1"/>
    <col min="17" max="19" width="11.421875" style="67" customWidth="1"/>
    <col min="20" max="16384" width="8.7109375" style="67" customWidth="1"/>
  </cols>
  <sheetData>
    <row r="1" spans="1:16" ht="12.75">
      <c r="A1" s="57"/>
      <c r="B1" s="57"/>
      <c r="C1" s="409"/>
      <c r="D1" s="409"/>
      <c r="E1" s="47"/>
      <c r="F1" s="47"/>
      <c r="G1" s="47"/>
      <c r="H1" s="47"/>
      <c r="I1" s="47"/>
      <c r="J1" s="47"/>
      <c r="K1" s="47"/>
      <c r="L1" s="47"/>
      <c r="M1" s="47"/>
      <c r="N1" s="47"/>
      <c r="O1" s="92" t="str">
        <f>+VN!L1</f>
        <v>Empresa:</v>
      </c>
      <c r="P1" s="93" t="str">
        <f>+Pressupostos!E1</f>
        <v>XPTO SA</v>
      </c>
    </row>
    <row r="2" spans="1:16" ht="12.75">
      <c r="A2" s="51"/>
      <c r="B2" s="51"/>
      <c r="C2" s="441"/>
      <c r="D2" s="441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52" t="str">
        <f>+Pressupostos!B9</f>
        <v>Euros</v>
      </c>
    </row>
    <row r="3" spans="1:16" ht="12.75">
      <c r="A3" s="51"/>
      <c r="B3" s="51"/>
      <c r="C3" s="441"/>
      <c r="D3" s="441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52"/>
    </row>
    <row r="4" spans="1:16" ht="15.75">
      <c r="A4" s="508" t="s">
        <v>70</v>
      </c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</row>
    <row r="5" spans="1:16" ht="12.75">
      <c r="A5" s="57"/>
      <c r="B5" s="57"/>
      <c r="C5" s="409"/>
      <c r="D5" s="409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ht="12.75">
      <c r="A6" s="57"/>
      <c r="B6" s="57"/>
      <c r="C6" s="409"/>
      <c r="D6" s="409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1:16" ht="12.75">
      <c r="A7" s="55"/>
      <c r="B7" s="94"/>
      <c r="C7" s="94"/>
      <c r="D7" s="94"/>
      <c r="E7" s="78"/>
      <c r="F7" s="54">
        <f>+VN!C8</f>
        <v>2016</v>
      </c>
      <c r="G7" s="54">
        <f>+VN!D8</f>
        <v>2017</v>
      </c>
      <c r="H7" s="54">
        <f>+VN!E8</f>
        <v>2018</v>
      </c>
      <c r="I7" s="54">
        <f>+VN!F8</f>
        <v>2019</v>
      </c>
      <c r="J7" s="54">
        <f>+VN!G8</f>
        <v>2020</v>
      </c>
      <c r="K7" s="54">
        <f>+VN!H8</f>
        <v>2021</v>
      </c>
      <c r="L7" s="54">
        <f>+VN!I8</f>
        <v>2022</v>
      </c>
      <c r="M7" s="54">
        <f>+VN!J8</f>
        <v>2023</v>
      </c>
      <c r="N7" s="54">
        <f>+VN!K8</f>
        <v>2024</v>
      </c>
      <c r="O7" s="54">
        <f>+VN!L8</f>
        <v>2025</v>
      </c>
      <c r="P7" s="54">
        <f>+VN!M8</f>
        <v>2026</v>
      </c>
    </row>
    <row r="8" spans="1:16" ht="12.75">
      <c r="A8" s="95" t="s">
        <v>32</v>
      </c>
      <c r="B8" s="96"/>
      <c r="C8" s="94"/>
      <c r="D8" s="94"/>
      <c r="E8" s="98"/>
      <c r="F8" s="474"/>
      <c r="G8" s="474"/>
      <c r="H8" s="474"/>
      <c r="I8" s="474"/>
      <c r="J8" s="404">
        <f aca="true" t="shared" si="0" ref="J8:P8">+I8</f>
        <v>0</v>
      </c>
      <c r="K8" s="404">
        <f t="shared" si="0"/>
        <v>0</v>
      </c>
      <c r="L8" s="404">
        <f t="shared" si="0"/>
        <v>0</v>
      </c>
      <c r="M8" s="404">
        <f t="shared" si="0"/>
        <v>0</v>
      </c>
      <c r="N8" s="404">
        <f t="shared" si="0"/>
        <v>0</v>
      </c>
      <c r="O8" s="404">
        <f t="shared" si="0"/>
        <v>0</v>
      </c>
      <c r="P8" s="404">
        <f t="shared" si="0"/>
        <v>0</v>
      </c>
    </row>
    <row r="9" spans="1:16" ht="12.75">
      <c r="A9" s="95" t="s">
        <v>72</v>
      </c>
      <c r="B9" s="96"/>
      <c r="C9" s="94"/>
      <c r="D9" s="94"/>
      <c r="E9" s="98"/>
      <c r="F9" s="99">
        <v>0</v>
      </c>
      <c r="G9" s="475"/>
      <c r="H9" s="475"/>
      <c r="I9" s="475"/>
      <c r="J9" s="475"/>
      <c r="K9" s="475"/>
      <c r="L9" s="475"/>
      <c r="M9" s="475"/>
      <c r="N9" s="475"/>
      <c r="O9" s="475"/>
      <c r="P9" s="475"/>
    </row>
    <row r="10" spans="1:16" ht="12.75">
      <c r="A10" s="57"/>
      <c r="B10" s="57"/>
      <c r="C10" s="409"/>
      <c r="D10" s="409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</row>
    <row r="11" spans="1:16" ht="12.75">
      <c r="A11" s="57"/>
      <c r="B11" s="57"/>
      <c r="C11" s="409"/>
      <c r="D11" s="409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</row>
    <row r="12" spans="1:16" ht="12.75">
      <c r="A12" s="55"/>
      <c r="B12" s="54" t="s">
        <v>142</v>
      </c>
      <c r="C12" s="54" t="s">
        <v>2</v>
      </c>
      <c r="D12" s="54" t="s">
        <v>397</v>
      </c>
      <c r="E12" s="54" t="s">
        <v>73</v>
      </c>
      <c r="F12" s="374">
        <f>+VN!C8</f>
        <v>2016</v>
      </c>
      <c r="G12" s="374">
        <f>+VN!D8</f>
        <v>2017</v>
      </c>
      <c r="H12" s="374">
        <f>+VN!E8</f>
        <v>2018</v>
      </c>
      <c r="I12" s="374">
        <f>+VN!F8</f>
        <v>2019</v>
      </c>
      <c r="J12" s="374">
        <f>+VN!G8</f>
        <v>2020</v>
      </c>
      <c r="K12" s="374">
        <f>+VN!H8</f>
        <v>2021</v>
      </c>
      <c r="L12" s="374">
        <f>+VN!I8</f>
        <v>2022</v>
      </c>
      <c r="M12" s="374">
        <f>+VN!J8</f>
        <v>2023</v>
      </c>
      <c r="N12" s="374">
        <f>+VN!K8</f>
        <v>2024</v>
      </c>
      <c r="O12" s="374">
        <f>+VN!L8</f>
        <v>2025</v>
      </c>
      <c r="P12" s="374">
        <f>+VN!M8</f>
        <v>2026</v>
      </c>
    </row>
    <row r="13" spans="1:16" ht="12.75">
      <c r="A13" s="100" t="s">
        <v>28</v>
      </c>
      <c r="B13" s="440">
        <f>Pressupostos!$B$21</f>
        <v>0.23</v>
      </c>
      <c r="C13" s="443">
        <f>100%-D13</f>
        <v>1</v>
      </c>
      <c r="D13" s="440"/>
      <c r="E13" s="435"/>
      <c r="F13" s="473">
        <f>E13*$F$8</f>
        <v>0</v>
      </c>
      <c r="G13" s="473">
        <f>+E13*$G$8*(1+$G$9)</f>
        <v>0</v>
      </c>
      <c r="H13" s="473">
        <f>+E13*(1+$G$9)*(1+$H$9)*H$8</f>
        <v>0</v>
      </c>
      <c r="I13" s="473">
        <f>+E13*(1+$G$9)*(1+$H$9)*(1+I$9)*I$8</f>
        <v>0</v>
      </c>
      <c r="J13" s="473">
        <f aca="true" t="shared" si="1" ref="J13:P15">+I13*(1+J$9)</f>
        <v>0</v>
      </c>
      <c r="K13" s="473">
        <f t="shared" si="1"/>
        <v>0</v>
      </c>
      <c r="L13" s="473">
        <f t="shared" si="1"/>
        <v>0</v>
      </c>
      <c r="M13" s="473">
        <f t="shared" si="1"/>
        <v>0</v>
      </c>
      <c r="N13" s="473">
        <f t="shared" si="1"/>
        <v>0</v>
      </c>
      <c r="O13" s="473">
        <f t="shared" si="1"/>
        <v>0</v>
      </c>
      <c r="P13" s="473">
        <f t="shared" si="1"/>
        <v>0</v>
      </c>
    </row>
    <row r="14" spans="1:16" ht="12.75">
      <c r="A14" s="101" t="s">
        <v>324</v>
      </c>
      <c r="B14" s="439"/>
      <c r="C14" s="443"/>
      <c r="D14" s="439"/>
      <c r="E14" s="436"/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7"/>
    </row>
    <row r="15" spans="1:16" ht="12.75">
      <c r="A15" s="312" t="s">
        <v>194</v>
      </c>
      <c r="B15" s="440">
        <f>Pressupostos!$B$21</f>
        <v>0.23</v>
      </c>
      <c r="C15" s="443">
        <f aca="true" t="shared" si="2" ref="C15:C42">100%-D15</f>
        <v>1</v>
      </c>
      <c r="D15" s="440"/>
      <c r="E15" s="435"/>
      <c r="F15" s="473">
        <f aca="true" t="shared" si="3" ref="F15:F20">E15*$F$8</f>
        <v>0</v>
      </c>
      <c r="G15" s="473">
        <f aca="true" t="shared" si="4" ref="G15:G20">+E15*$G$8*(1+$G$9)</f>
        <v>0</v>
      </c>
      <c r="H15" s="473">
        <f aca="true" t="shared" si="5" ref="H15:H20">+E15*(1+$G$9)*(1+$H$9)*H$8</f>
        <v>0</v>
      </c>
      <c r="I15" s="473">
        <f aca="true" t="shared" si="6" ref="I15:I20">+E15*(1+$G$9)*(1+$H$9)*(1+I$9)*I$8</f>
        <v>0</v>
      </c>
      <c r="J15" s="473">
        <f t="shared" si="1"/>
        <v>0</v>
      </c>
      <c r="K15" s="473">
        <f t="shared" si="1"/>
        <v>0</v>
      </c>
      <c r="L15" s="473">
        <f t="shared" si="1"/>
        <v>0</v>
      </c>
      <c r="M15" s="473">
        <f t="shared" si="1"/>
        <v>0</v>
      </c>
      <c r="N15" s="473">
        <f t="shared" si="1"/>
        <v>0</v>
      </c>
      <c r="O15" s="473">
        <f t="shared" si="1"/>
        <v>0</v>
      </c>
      <c r="P15" s="473">
        <f t="shared" si="1"/>
        <v>0</v>
      </c>
    </row>
    <row r="16" spans="1:16" ht="12.75">
      <c r="A16" s="312" t="s">
        <v>42</v>
      </c>
      <c r="B16" s="440">
        <f>Pressupostos!$B$21</f>
        <v>0.23</v>
      </c>
      <c r="C16" s="443">
        <f t="shared" si="2"/>
        <v>1</v>
      </c>
      <c r="D16" s="440"/>
      <c r="E16" s="435"/>
      <c r="F16" s="473">
        <f t="shared" si="3"/>
        <v>0</v>
      </c>
      <c r="G16" s="473">
        <f t="shared" si="4"/>
        <v>0</v>
      </c>
      <c r="H16" s="473">
        <f t="shared" si="5"/>
        <v>0</v>
      </c>
      <c r="I16" s="473">
        <f t="shared" si="6"/>
        <v>0</v>
      </c>
      <c r="J16" s="473">
        <f aca="true" t="shared" si="7" ref="J16:P16">+I16*(1+J$9)</f>
        <v>0</v>
      </c>
      <c r="K16" s="473">
        <f t="shared" si="7"/>
        <v>0</v>
      </c>
      <c r="L16" s="473">
        <f t="shared" si="7"/>
        <v>0</v>
      </c>
      <c r="M16" s="473">
        <f t="shared" si="7"/>
        <v>0</v>
      </c>
      <c r="N16" s="473">
        <f t="shared" si="7"/>
        <v>0</v>
      </c>
      <c r="O16" s="473">
        <f t="shared" si="7"/>
        <v>0</v>
      </c>
      <c r="P16" s="473">
        <f t="shared" si="7"/>
        <v>0</v>
      </c>
    </row>
    <row r="17" spans="1:16" ht="12.75">
      <c r="A17" s="312" t="s">
        <v>193</v>
      </c>
      <c r="B17" s="440">
        <f>Pressupostos!$B$21</f>
        <v>0.23</v>
      </c>
      <c r="C17" s="443">
        <f t="shared" si="2"/>
        <v>1</v>
      </c>
      <c r="D17" s="440"/>
      <c r="E17" s="435"/>
      <c r="F17" s="473">
        <f t="shared" si="3"/>
        <v>0</v>
      </c>
      <c r="G17" s="473">
        <f t="shared" si="4"/>
        <v>0</v>
      </c>
      <c r="H17" s="473">
        <f t="shared" si="5"/>
        <v>0</v>
      </c>
      <c r="I17" s="473">
        <f t="shared" si="6"/>
        <v>0</v>
      </c>
      <c r="J17" s="473">
        <f aca="true" t="shared" si="8" ref="J17:P17">+I17*(1+J$9)</f>
        <v>0</v>
      </c>
      <c r="K17" s="473">
        <f t="shared" si="8"/>
        <v>0</v>
      </c>
      <c r="L17" s="473">
        <f t="shared" si="8"/>
        <v>0</v>
      </c>
      <c r="M17" s="473">
        <f t="shared" si="8"/>
        <v>0</v>
      </c>
      <c r="N17" s="473">
        <f t="shared" si="8"/>
        <v>0</v>
      </c>
      <c r="O17" s="473">
        <f t="shared" si="8"/>
        <v>0</v>
      </c>
      <c r="P17" s="473">
        <f t="shared" si="8"/>
        <v>0</v>
      </c>
    </row>
    <row r="18" spans="1:16" ht="12.75">
      <c r="A18" s="312" t="s">
        <v>44</v>
      </c>
      <c r="B18" s="440">
        <f>Pressupostos!$B$21</f>
        <v>0.23</v>
      </c>
      <c r="C18" s="443">
        <f t="shared" si="2"/>
        <v>1</v>
      </c>
      <c r="D18" s="440"/>
      <c r="E18" s="435"/>
      <c r="F18" s="473">
        <f t="shared" si="3"/>
        <v>0</v>
      </c>
      <c r="G18" s="473">
        <f t="shared" si="4"/>
        <v>0</v>
      </c>
      <c r="H18" s="473">
        <f t="shared" si="5"/>
        <v>0</v>
      </c>
      <c r="I18" s="473">
        <f t="shared" si="6"/>
        <v>0</v>
      </c>
      <c r="J18" s="473">
        <f aca="true" t="shared" si="9" ref="J18:P18">+I18*(1+J$9)</f>
        <v>0</v>
      </c>
      <c r="K18" s="473">
        <f t="shared" si="9"/>
        <v>0</v>
      </c>
      <c r="L18" s="473">
        <f t="shared" si="9"/>
        <v>0</v>
      </c>
      <c r="M18" s="473">
        <f t="shared" si="9"/>
        <v>0</v>
      </c>
      <c r="N18" s="473">
        <f t="shared" si="9"/>
        <v>0</v>
      </c>
      <c r="O18" s="473">
        <f t="shared" si="9"/>
        <v>0</v>
      </c>
      <c r="P18" s="473">
        <f t="shared" si="9"/>
        <v>0</v>
      </c>
    </row>
    <row r="19" spans="1:16" ht="12.75">
      <c r="A19" s="312" t="s">
        <v>30</v>
      </c>
      <c r="B19" s="440">
        <f>Pressupostos!$B$21</f>
        <v>0.23</v>
      </c>
      <c r="C19" s="443">
        <f t="shared" si="2"/>
        <v>1</v>
      </c>
      <c r="D19" s="440"/>
      <c r="E19" s="435"/>
      <c r="F19" s="473">
        <f t="shared" si="3"/>
        <v>0</v>
      </c>
      <c r="G19" s="473">
        <f t="shared" si="4"/>
        <v>0</v>
      </c>
      <c r="H19" s="473">
        <f t="shared" si="5"/>
        <v>0</v>
      </c>
      <c r="I19" s="473">
        <f t="shared" si="6"/>
        <v>0</v>
      </c>
      <c r="J19" s="473">
        <f aca="true" t="shared" si="10" ref="J19:P19">+I19*(1+J$9)</f>
        <v>0</v>
      </c>
      <c r="K19" s="473">
        <f t="shared" si="10"/>
        <v>0</v>
      </c>
      <c r="L19" s="473">
        <f t="shared" si="10"/>
        <v>0</v>
      </c>
      <c r="M19" s="473">
        <f t="shared" si="10"/>
        <v>0</v>
      </c>
      <c r="N19" s="473">
        <f t="shared" si="10"/>
        <v>0</v>
      </c>
      <c r="O19" s="473">
        <f t="shared" si="10"/>
        <v>0</v>
      </c>
      <c r="P19" s="473">
        <f t="shared" si="10"/>
        <v>0</v>
      </c>
    </row>
    <row r="20" spans="1:16" ht="12.75">
      <c r="A20" s="312" t="s">
        <v>41</v>
      </c>
      <c r="B20" s="440">
        <f>Pressupostos!$B$21</f>
        <v>0.23</v>
      </c>
      <c r="C20" s="443">
        <f t="shared" si="2"/>
        <v>1</v>
      </c>
      <c r="D20" s="440"/>
      <c r="E20" s="435"/>
      <c r="F20" s="473">
        <f t="shared" si="3"/>
        <v>0</v>
      </c>
      <c r="G20" s="473">
        <f t="shared" si="4"/>
        <v>0</v>
      </c>
      <c r="H20" s="473">
        <f t="shared" si="5"/>
        <v>0</v>
      </c>
      <c r="I20" s="473">
        <f t="shared" si="6"/>
        <v>0</v>
      </c>
      <c r="J20" s="473">
        <f aca="true" t="shared" si="11" ref="J20:P20">+I20*(1+J$9)</f>
        <v>0</v>
      </c>
      <c r="K20" s="473">
        <f t="shared" si="11"/>
        <v>0</v>
      </c>
      <c r="L20" s="473">
        <f t="shared" si="11"/>
        <v>0</v>
      </c>
      <c r="M20" s="473">
        <f t="shared" si="11"/>
        <v>0</v>
      </c>
      <c r="N20" s="473">
        <f t="shared" si="11"/>
        <v>0</v>
      </c>
      <c r="O20" s="473">
        <f t="shared" si="11"/>
        <v>0</v>
      </c>
      <c r="P20" s="473">
        <f t="shared" si="11"/>
        <v>0</v>
      </c>
    </row>
    <row r="21" spans="1:16" ht="12.75">
      <c r="A21" s="101" t="s">
        <v>325</v>
      </c>
      <c r="B21" s="439"/>
      <c r="C21" s="443"/>
      <c r="D21" s="439"/>
      <c r="E21" s="436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</row>
    <row r="22" spans="1:16" ht="12.75">
      <c r="A22" s="312" t="s">
        <v>326</v>
      </c>
      <c r="B22" s="440">
        <f>Pressupostos!$B$21</f>
        <v>0.23</v>
      </c>
      <c r="C22" s="443">
        <f t="shared" si="2"/>
        <v>1</v>
      </c>
      <c r="D22" s="440"/>
      <c r="E22" s="435"/>
      <c r="F22" s="473">
        <f>E22*$F$8</f>
        <v>0</v>
      </c>
      <c r="G22" s="473">
        <f>+E22*$G$8*(1+$G$9)</f>
        <v>0</v>
      </c>
      <c r="H22" s="473">
        <f>+E22*(1+$G$9)*(1+$H$9)*H$8</f>
        <v>0</v>
      </c>
      <c r="I22" s="473">
        <f>+E22*(1+$G$9)*(1+$H$9)*(1+I$9)*I$8</f>
        <v>0</v>
      </c>
      <c r="J22" s="473">
        <f aca="true" t="shared" si="12" ref="J22:P22">+I22*(1+J$9)</f>
        <v>0</v>
      </c>
      <c r="K22" s="473">
        <f t="shared" si="12"/>
        <v>0</v>
      </c>
      <c r="L22" s="473">
        <f t="shared" si="12"/>
        <v>0</v>
      </c>
      <c r="M22" s="473">
        <f t="shared" si="12"/>
        <v>0</v>
      </c>
      <c r="N22" s="473">
        <f t="shared" si="12"/>
        <v>0</v>
      </c>
      <c r="O22" s="473">
        <f t="shared" si="12"/>
        <v>0</v>
      </c>
      <c r="P22" s="473">
        <f t="shared" si="12"/>
        <v>0</v>
      </c>
    </row>
    <row r="23" spans="1:16" ht="12.75">
      <c r="A23" s="312" t="s">
        <v>327</v>
      </c>
      <c r="B23" s="440">
        <f>Pressupostos!$B$21</f>
        <v>0.23</v>
      </c>
      <c r="C23" s="443">
        <f t="shared" si="2"/>
        <v>1</v>
      </c>
      <c r="D23" s="440"/>
      <c r="E23" s="435"/>
      <c r="F23" s="473">
        <f>E23*$F$8</f>
        <v>0</v>
      </c>
      <c r="G23" s="473">
        <f>+E23*$G$8*(1+$G$9)</f>
        <v>0</v>
      </c>
      <c r="H23" s="473">
        <f>+E23*(1+$G$9)*(1+$H$9)*H$8</f>
        <v>0</v>
      </c>
      <c r="I23" s="473">
        <f>+E23*(1+$G$9)*(1+$H$9)*(1+I$9)*I$8</f>
        <v>0</v>
      </c>
      <c r="J23" s="473">
        <f aca="true" t="shared" si="13" ref="J23:P23">+I23*(1+J$9)</f>
        <v>0</v>
      </c>
      <c r="K23" s="473">
        <f t="shared" si="13"/>
        <v>0</v>
      </c>
      <c r="L23" s="473">
        <f t="shared" si="13"/>
        <v>0</v>
      </c>
      <c r="M23" s="473">
        <f t="shared" si="13"/>
        <v>0</v>
      </c>
      <c r="N23" s="473">
        <f t="shared" si="13"/>
        <v>0</v>
      </c>
      <c r="O23" s="473">
        <f t="shared" si="13"/>
        <v>0</v>
      </c>
      <c r="P23" s="473">
        <f t="shared" si="13"/>
        <v>0</v>
      </c>
    </row>
    <row r="24" spans="1:16" ht="12.75">
      <c r="A24" s="312" t="s">
        <v>192</v>
      </c>
      <c r="B24" s="440">
        <f>Pressupostos!$B$21</f>
        <v>0.23</v>
      </c>
      <c r="C24" s="443">
        <f t="shared" si="2"/>
        <v>1</v>
      </c>
      <c r="D24" s="440"/>
      <c r="E24" s="435"/>
      <c r="F24" s="473">
        <f>E24*$F$8</f>
        <v>0</v>
      </c>
      <c r="G24" s="473">
        <f>+E24*$G$8*(1+$G$9)</f>
        <v>0</v>
      </c>
      <c r="H24" s="473">
        <f>+E24*(1+$G$9)*(1+$H$9)*H$8</f>
        <v>0</v>
      </c>
      <c r="I24" s="473">
        <f>+E24*(1+$G$9)*(1+$H$9)*(1+I$9)*I$8</f>
        <v>0</v>
      </c>
      <c r="J24" s="473">
        <f aca="true" t="shared" si="14" ref="J24:P24">+I24*(1+J$9)</f>
        <v>0</v>
      </c>
      <c r="K24" s="473">
        <f t="shared" si="14"/>
        <v>0</v>
      </c>
      <c r="L24" s="473">
        <f t="shared" si="14"/>
        <v>0</v>
      </c>
      <c r="M24" s="473">
        <f t="shared" si="14"/>
        <v>0</v>
      </c>
      <c r="N24" s="473">
        <f t="shared" si="14"/>
        <v>0</v>
      </c>
      <c r="O24" s="473">
        <f t="shared" si="14"/>
        <v>0</v>
      </c>
      <c r="P24" s="473">
        <f t="shared" si="14"/>
        <v>0</v>
      </c>
    </row>
    <row r="25" spans="1:16" ht="12.75">
      <c r="A25" s="312" t="s">
        <v>34</v>
      </c>
      <c r="B25" s="440">
        <f>Pressupostos!$B$21</f>
        <v>0.23</v>
      </c>
      <c r="C25" s="443">
        <f t="shared" si="2"/>
        <v>1</v>
      </c>
      <c r="D25" s="440"/>
      <c r="E25" s="435"/>
      <c r="F25" s="473">
        <f>E25*$F$8</f>
        <v>0</v>
      </c>
      <c r="G25" s="473">
        <f>+E25*$G$8*(1+$G$9)</f>
        <v>0</v>
      </c>
      <c r="H25" s="473">
        <f>+E25*(1+$G$9)*(1+$H$9)*H$8</f>
        <v>0</v>
      </c>
      <c r="I25" s="473">
        <f>+E25*(1+$G$9)*(1+$H$9)*(1+I$9)*I$8</f>
        <v>0</v>
      </c>
      <c r="J25" s="473">
        <f aca="true" t="shared" si="15" ref="J25:P25">+I25*(1+J$9)</f>
        <v>0</v>
      </c>
      <c r="K25" s="473">
        <f t="shared" si="15"/>
        <v>0</v>
      </c>
      <c r="L25" s="473">
        <f t="shared" si="15"/>
        <v>0</v>
      </c>
      <c r="M25" s="473">
        <f t="shared" si="15"/>
        <v>0</v>
      </c>
      <c r="N25" s="473">
        <f t="shared" si="15"/>
        <v>0</v>
      </c>
      <c r="O25" s="473">
        <f t="shared" si="15"/>
        <v>0</v>
      </c>
      <c r="P25" s="473">
        <f t="shared" si="15"/>
        <v>0</v>
      </c>
    </row>
    <row r="26" spans="1:16" ht="12.75">
      <c r="A26" s="101" t="s">
        <v>328</v>
      </c>
      <c r="B26" s="439"/>
      <c r="C26" s="443"/>
      <c r="D26" s="439"/>
      <c r="E26" s="436"/>
      <c r="F26" s="437"/>
      <c r="G26" s="437"/>
      <c r="H26" s="437"/>
      <c r="I26" s="437"/>
      <c r="J26" s="437"/>
      <c r="K26" s="437"/>
      <c r="L26" s="437"/>
      <c r="M26" s="437"/>
      <c r="N26" s="437"/>
      <c r="O26" s="437"/>
      <c r="P26" s="437"/>
    </row>
    <row r="27" spans="1:16" ht="12.75">
      <c r="A27" s="312" t="s">
        <v>33</v>
      </c>
      <c r="B27" s="440">
        <f>Pressupostos!$B$21</f>
        <v>0.23</v>
      </c>
      <c r="C27" s="443">
        <f t="shared" si="2"/>
        <v>1</v>
      </c>
      <c r="D27" s="440"/>
      <c r="E27" s="435"/>
      <c r="F27" s="473">
        <f>E27*$F$8</f>
        <v>0</v>
      </c>
      <c r="G27" s="473">
        <f>+E27*$G$8*(1+$G$9)</f>
        <v>0</v>
      </c>
      <c r="H27" s="473">
        <f>+E27*(1+$G$9)*(1+$H$9)*H$8</f>
        <v>0</v>
      </c>
      <c r="I27" s="473">
        <f>+E27*(1+$G$9)*(1+$H$9)*(1+I$9)*I$8</f>
        <v>0</v>
      </c>
      <c r="J27" s="473">
        <f aca="true" t="shared" si="16" ref="J27:P27">+I27*(1+J$9)</f>
        <v>0</v>
      </c>
      <c r="K27" s="473">
        <f t="shared" si="16"/>
        <v>0</v>
      </c>
      <c r="L27" s="473">
        <f t="shared" si="16"/>
        <v>0</v>
      </c>
      <c r="M27" s="473">
        <f t="shared" si="16"/>
        <v>0</v>
      </c>
      <c r="N27" s="473">
        <f t="shared" si="16"/>
        <v>0</v>
      </c>
      <c r="O27" s="473">
        <f t="shared" si="16"/>
        <v>0</v>
      </c>
      <c r="P27" s="473">
        <f t="shared" si="16"/>
        <v>0</v>
      </c>
    </row>
    <row r="28" spans="1:16" ht="12.75">
      <c r="A28" s="312" t="s">
        <v>329</v>
      </c>
      <c r="B28" s="440">
        <f>Pressupostos!$B$21</f>
        <v>0.23</v>
      </c>
      <c r="C28" s="443">
        <f t="shared" si="2"/>
        <v>1</v>
      </c>
      <c r="D28" s="440"/>
      <c r="E28" s="435"/>
      <c r="F28" s="473">
        <f>E28*$F$8</f>
        <v>0</v>
      </c>
      <c r="G28" s="473">
        <f>+E28*$G$8*(1+$G$9)</f>
        <v>0</v>
      </c>
      <c r="H28" s="473">
        <f>+E28*(1+$G$9)*(1+$H$9)*H$8</f>
        <v>0</v>
      </c>
      <c r="I28" s="473">
        <f>+E28*(1+$G$9)*(1+$H$9)*(1+I$9)*I$8</f>
        <v>0</v>
      </c>
      <c r="J28" s="473">
        <f aca="true" t="shared" si="17" ref="J28:P28">+I28*(1+J$9)</f>
        <v>0</v>
      </c>
      <c r="K28" s="473">
        <f t="shared" si="17"/>
        <v>0</v>
      </c>
      <c r="L28" s="473">
        <f t="shared" si="17"/>
        <v>0</v>
      </c>
      <c r="M28" s="473">
        <f t="shared" si="17"/>
        <v>0</v>
      </c>
      <c r="N28" s="473">
        <f t="shared" si="17"/>
        <v>0</v>
      </c>
      <c r="O28" s="473">
        <f t="shared" si="17"/>
        <v>0</v>
      </c>
      <c r="P28" s="473">
        <f t="shared" si="17"/>
        <v>0</v>
      </c>
    </row>
    <row r="29" spans="1:16" ht="12.75">
      <c r="A29" s="312" t="s">
        <v>330</v>
      </c>
      <c r="B29" s="440">
        <v>0.06</v>
      </c>
      <c r="C29" s="443">
        <f t="shared" si="2"/>
        <v>1</v>
      </c>
      <c r="D29" s="440"/>
      <c r="E29" s="435"/>
      <c r="F29" s="473">
        <f>E29*$F$8</f>
        <v>0</v>
      </c>
      <c r="G29" s="473">
        <f>+E29*$G$8*(1+$G$9)</f>
        <v>0</v>
      </c>
      <c r="H29" s="473">
        <f>+E29*(1+$G$9)*(1+$H$9)*H$8</f>
        <v>0</v>
      </c>
      <c r="I29" s="473">
        <f>+E29*(1+$G$9)*(1+$H$9)*(1+I$9)*I$8</f>
        <v>0</v>
      </c>
      <c r="J29" s="473">
        <f aca="true" t="shared" si="18" ref="J29:P29">+I29*(1+J$9)</f>
        <v>0</v>
      </c>
      <c r="K29" s="473">
        <f t="shared" si="18"/>
        <v>0</v>
      </c>
      <c r="L29" s="473">
        <f t="shared" si="18"/>
        <v>0</v>
      </c>
      <c r="M29" s="473">
        <f t="shared" si="18"/>
        <v>0</v>
      </c>
      <c r="N29" s="473">
        <f t="shared" si="18"/>
        <v>0</v>
      </c>
      <c r="O29" s="473">
        <f t="shared" si="18"/>
        <v>0</v>
      </c>
      <c r="P29" s="473">
        <f t="shared" si="18"/>
        <v>0</v>
      </c>
    </row>
    <row r="30" spans="1:16" ht="12.75">
      <c r="A30" s="101" t="s">
        <v>331</v>
      </c>
      <c r="B30" s="439"/>
      <c r="C30" s="443"/>
      <c r="D30" s="439"/>
      <c r="E30" s="436"/>
      <c r="F30" s="437"/>
      <c r="G30" s="437"/>
      <c r="H30" s="437"/>
      <c r="I30" s="437"/>
      <c r="J30" s="437"/>
      <c r="K30" s="437"/>
      <c r="L30" s="437"/>
      <c r="M30" s="437"/>
      <c r="N30" s="437"/>
      <c r="O30" s="437"/>
      <c r="P30" s="437"/>
    </row>
    <row r="31" spans="1:16" ht="12.75">
      <c r="A31" s="312" t="s">
        <v>332</v>
      </c>
      <c r="B31" s="440">
        <f>Pressupostos!$B$21</f>
        <v>0.23</v>
      </c>
      <c r="C31" s="443">
        <f t="shared" si="2"/>
        <v>1</v>
      </c>
      <c r="D31" s="440"/>
      <c r="E31" s="435"/>
      <c r="F31" s="473">
        <f>E31*$F$8</f>
        <v>0</v>
      </c>
      <c r="G31" s="473">
        <f>+E31*$G$8*(1+$G$9)</f>
        <v>0</v>
      </c>
      <c r="H31" s="473">
        <f>+E31*(1+$G$9)*(1+$H$9)*H$8</f>
        <v>0</v>
      </c>
      <c r="I31" s="473">
        <f>+E31*(1+$G$9)*(1+$H$9)*(1+I$9)*I$8</f>
        <v>0</v>
      </c>
      <c r="J31" s="473">
        <f aca="true" t="shared" si="19" ref="J31:P31">+I31*(1+J$9)</f>
        <v>0</v>
      </c>
      <c r="K31" s="473">
        <f t="shared" si="19"/>
        <v>0</v>
      </c>
      <c r="L31" s="473">
        <f t="shared" si="19"/>
        <v>0</v>
      </c>
      <c r="M31" s="473">
        <f t="shared" si="19"/>
        <v>0</v>
      </c>
      <c r="N31" s="473">
        <f t="shared" si="19"/>
        <v>0</v>
      </c>
      <c r="O31" s="473">
        <f t="shared" si="19"/>
        <v>0</v>
      </c>
      <c r="P31" s="473">
        <f t="shared" si="19"/>
        <v>0</v>
      </c>
    </row>
    <row r="32" spans="1:16" ht="12.75">
      <c r="A32" s="312" t="s">
        <v>333</v>
      </c>
      <c r="B32" s="440">
        <f>Pressupostos!$B$21</f>
        <v>0.23</v>
      </c>
      <c r="C32" s="443">
        <f t="shared" si="2"/>
        <v>1</v>
      </c>
      <c r="D32" s="440"/>
      <c r="E32" s="435"/>
      <c r="F32" s="473">
        <f>E32*$F$8</f>
        <v>0</v>
      </c>
      <c r="G32" s="473">
        <f>+E32*$G$8*(1+$G$9)</f>
        <v>0</v>
      </c>
      <c r="H32" s="473">
        <f>+E32*(1+$G$9)*(1+$H$9)*H$8</f>
        <v>0</v>
      </c>
      <c r="I32" s="473">
        <f>+E32*(1+$G$9)*(1+$H$9)*(1+I$9)*I$8</f>
        <v>0</v>
      </c>
      <c r="J32" s="473">
        <f aca="true" t="shared" si="20" ref="J32:P32">+I32*(1+J$9)</f>
        <v>0</v>
      </c>
      <c r="K32" s="473">
        <f t="shared" si="20"/>
        <v>0</v>
      </c>
      <c r="L32" s="473">
        <f t="shared" si="20"/>
        <v>0</v>
      </c>
      <c r="M32" s="473">
        <f t="shared" si="20"/>
        <v>0</v>
      </c>
      <c r="N32" s="473">
        <f t="shared" si="20"/>
        <v>0</v>
      </c>
      <c r="O32" s="473">
        <f t="shared" si="20"/>
        <v>0</v>
      </c>
      <c r="P32" s="473">
        <f t="shared" si="20"/>
        <v>0</v>
      </c>
    </row>
    <row r="33" spans="1:16" ht="12.75">
      <c r="A33" s="312" t="s">
        <v>39</v>
      </c>
      <c r="B33" s="440">
        <f>Pressupostos!$B$21</f>
        <v>0.23</v>
      </c>
      <c r="C33" s="443">
        <f t="shared" si="2"/>
        <v>1</v>
      </c>
      <c r="D33" s="440"/>
      <c r="E33" s="435"/>
      <c r="F33" s="473">
        <f>E33*$F$8</f>
        <v>0</v>
      </c>
      <c r="G33" s="473">
        <f>+E33*$G$8*(1+$G$9)</f>
        <v>0</v>
      </c>
      <c r="H33" s="473">
        <f>+E33*(1+$G$9)*(1+$H$9)*H$8</f>
        <v>0</v>
      </c>
      <c r="I33" s="473">
        <f>+E33*(1+$G$9)*(1+$H$9)*(1+I$9)*I$8</f>
        <v>0</v>
      </c>
      <c r="J33" s="473">
        <f aca="true" t="shared" si="21" ref="J33:P33">+I33*(1+J$9)</f>
        <v>0</v>
      </c>
      <c r="K33" s="473">
        <f t="shared" si="21"/>
        <v>0</v>
      </c>
      <c r="L33" s="473">
        <f t="shared" si="21"/>
        <v>0</v>
      </c>
      <c r="M33" s="473">
        <f t="shared" si="21"/>
        <v>0</v>
      </c>
      <c r="N33" s="473">
        <f t="shared" si="21"/>
        <v>0</v>
      </c>
      <c r="O33" s="473">
        <f t="shared" si="21"/>
        <v>0</v>
      </c>
      <c r="P33" s="473">
        <f t="shared" si="21"/>
        <v>0</v>
      </c>
    </row>
    <row r="34" spans="1:16" ht="12.75">
      <c r="A34" s="313" t="s">
        <v>334</v>
      </c>
      <c r="B34" s="439"/>
      <c r="C34" s="443"/>
      <c r="D34" s="439"/>
      <c r="E34" s="436"/>
      <c r="F34" s="437"/>
      <c r="G34" s="437"/>
      <c r="H34" s="437"/>
      <c r="I34" s="437"/>
      <c r="J34" s="437"/>
      <c r="K34" s="437"/>
      <c r="L34" s="437"/>
      <c r="M34" s="437"/>
      <c r="N34" s="437"/>
      <c r="O34" s="437"/>
      <c r="P34" s="437"/>
    </row>
    <row r="35" spans="1:16" ht="12.75">
      <c r="A35" s="312" t="s">
        <v>35</v>
      </c>
      <c r="B35" s="440">
        <f>Pressupostos!$B$21</f>
        <v>0.23</v>
      </c>
      <c r="C35" s="443">
        <f t="shared" si="2"/>
        <v>1</v>
      </c>
      <c r="D35" s="440"/>
      <c r="E35" s="435"/>
      <c r="F35" s="473">
        <f aca="true" t="shared" si="22" ref="F35:F42">E35*$F$8</f>
        <v>0</v>
      </c>
      <c r="G35" s="473">
        <f aca="true" t="shared" si="23" ref="G35:G42">+E35*$G$8*(1+$G$9)</f>
        <v>0</v>
      </c>
      <c r="H35" s="473">
        <f aca="true" t="shared" si="24" ref="H35:H42">+E35*(1+$G$9)*(1+$H$9)*H$8</f>
        <v>0</v>
      </c>
      <c r="I35" s="473">
        <f aca="true" t="shared" si="25" ref="I35:I42">+E35*(1+$G$9)*(1+$H$9)*(1+I$9)*I$8</f>
        <v>0</v>
      </c>
      <c r="J35" s="473">
        <f aca="true" t="shared" si="26" ref="J35:P35">+I35*(1+J$9)</f>
        <v>0</v>
      </c>
      <c r="K35" s="473">
        <f t="shared" si="26"/>
        <v>0</v>
      </c>
      <c r="L35" s="473">
        <f t="shared" si="26"/>
        <v>0</v>
      </c>
      <c r="M35" s="473">
        <f t="shared" si="26"/>
        <v>0</v>
      </c>
      <c r="N35" s="473">
        <f t="shared" si="26"/>
        <v>0</v>
      </c>
      <c r="O35" s="473">
        <f t="shared" si="26"/>
        <v>0</v>
      </c>
      <c r="P35" s="473">
        <f t="shared" si="26"/>
        <v>0</v>
      </c>
    </row>
    <row r="36" spans="1:16" ht="12.75">
      <c r="A36" s="312" t="s">
        <v>37</v>
      </c>
      <c r="B36" s="440">
        <f>Pressupostos!$B$21</f>
        <v>0.23</v>
      </c>
      <c r="C36" s="443">
        <f t="shared" si="2"/>
        <v>1</v>
      </c>
      <c r="D36" s="440"/>
      <c r="E36" s="435"/>
      <c r="F36" s="473">
        <f t="shared" si="22"/>
        <v>0</v>
      </c>
      <c r="G36" s="473">
        <f t="shared" si="23"/>
        <v>0</v>
      </c>
      <c r="H36" s="473">
        <f t="shared" si="24"/>
        <v>0</v>
      </c>
      <c r="I36" s="473">
        <f t="shared" si="25"/>
        <v>0</v>
      </c>
      <c r="J36" s="473">
        <f aca="true" t="shared" si="27" ref="J36:P36">+I36*(1+J$9)</f>
        <v>0</v>
      </c>
      <c r="K36" s="473">
        <f t="shared" si="27"/>
        <v>0</v>
      </c>
      <c r="L36" s="473">
        <f t="shared" si="27"/>
        <v>0</v>
      </c>
      <c r="M36" s="473">
        <f t="shared" si="27"/>
        <v>0</v>
      </c>
      <c r="N36" s="473">
        <f t="shared" si="27"/>
        <v>0</v>
      </c>
      <c r="O36" s="473">
        <f t="shared" si="27"/>
        <v>0</v>
      </c>
      <c r="P36" s="473">
        <f t="shared" si="27"/>
        <v>0</v>
      </c>
    </row>
    <row r="37" spans="1:16" ht="12.75">
      <c r="A37" s="312" t="s">
        <v>38</v>
      </c>
      <c r="B37" s="440">
        <v>0</v>
      </c>
      <c r="C37" s="443">
        <f t="shared" si="2"/>
        <v>1</v>
      </c>
      <c r="D37" s="440"/>
      <c r="E37" s="435"/>
      <c r="F37" s="473">
        <f t="shared" si="22"/>
        <v>0</v>
      </c>
      <c r="G37" s="473">
        <f t="shared" si="23"/>
        <v>0</v>
      </c>
      <c r="H37" s="473">
        <f t="shared" si="24"/>
        <v>0</v>
      </c>
      <c r="I37" s="473">
        <f t="shared" si="25"/>
        <v>0</v>
      </c>
      <c r="J37" s="473">
        <f aca="true" t="shared" si="28" ref="J37:P37">+I37*(1+J$9)</f>
        <v>0</v>
      </c>
      <c r="K37" s="473">
        <f t="shared" si="28"/>
        <v>0</v>
      </c>
      <c r="L37" s="473">
        <f t="shared" si="28"/>
        <v>0</v>
      </c>
      <c r="M37" s="473">
        <f t="shared" si="28"/>
        <v>0</v>
      </c>
      <c r="N37" s="473">
        <f t="shared" si="28"/>
        <v>0</v>
      </c>
      <c r="O37" s="473">
        <f t="shared" si="28"/>
        <v>0</v>
      </c>
      <c r="P37" s="473">
        <f t="shared" si="28"/>
        <v>0</v>
      </c>
    </row>
    <row r="38" spans="1:16" ht="12.75">
      <c r="A38" s="312" t="s">
        <v>29</v>
      </c>
      <c r="B38" s="440">
        <f>Pressupostos!$B$21</f>
        <v>0.23</v>
      </c>
      <c r="C38" s="443">
        <f t="shared" si="2"/>
        <v>1</v>
      </c>
      <c r="D38" s="440"/>
      <c r="E38" s="435"/>
      <c r="F38" s="473">
        <f t="shared" si="22"/>
        <v>0</v>
      </c>
      <c r="G38" s="473">
        <f t="shared" si="23"/>
        <v>0</v>
      </c>
      <c r="H38" s="473">
        <f t="shared" si="24"/>
        <v>0</v>
      </c>
      <c r="I38" s="473">
        <f t="shared" si="25"/>
        <v>0</v>
      </c>
      <c r="J38" s="473">
        <f aca="true" t="shared" si="29" ref="J38:P38">+I38*(1+J$9)</f>
        <v>0</v>
      </c>
      <c r="K38" s="473">
        <f t="shared" si="29"/>
        <v>0</v>
      </c>
      <c r="L38" s="473">
        <f t="shared" si="29"/>
        <v>0</v>
      </c>
      <c r="M38" s="473">
        <f t="shared" si="29"/>
        <v>0</v>
      </c>
      <c r="N38" s="473">
        <f t="shared" si="29"/>
        <v>0</v>
      </c>
      <c r="O38" s="473">
        <f t="shared" si="29"/>
        <v>0</v>
      </c>
      <c r="P38" s="473">
        <f t="shared" si="29"/>
        <v>0</v>
      </c>
    </row>
    <row r="39" spans="1:16" ht="12.75">
      <c r="A39" s="312" t="s">
        <v>40</v>
      </c>
      <c r="B39" s="440">
        <f>Pressupostos!$B$21</f>
        <v>0.23</v>
      </c>
      <c r="C39" s="443">
        <f t="shared" si="2"/>
        <v>1</v>
      </c>
      <c r="D39" s="440"/>
      <c r="E39" s="435"/>
      <c r="F39" s="473">
        <f t="shared" si="22"/>
        <v>0</v>
      </c>
      <c r="G39" s="473">
        <f t="shared" si="23"/>
        <v>0</v>
      </c>
      <c r="H39" s="473">
        <f t="shared" si="24"/>
        <v>0</v>
      </c>
      <c r="I39" s="473">
        <f t="shared" si="25"/>
        <v>0</v>
      </c>
      <c r="J39" s="473">
        <f aca="true" t="shared" si="30" ref="J39:P39">+I39*(1+J$9)</f>
        <v>0</v>
      </c>
      <c r="K39" s="473">
        <f t="shared" si="30"/>
        <v>0</v>
      </c>
      <c r="L39" s="473">
        <f t="shared" si="30"/>
        <v>0</v>
      </c>
      <c r="M39" s="473">
        <f t="shared" si="30"/>
        <v>0</v>
      </c>
      <c r="N39" s="473">
        <f t="shared" si="30"/>
        <v>0</v>
      </c>
      <c r="O39" s="473">
        <f t="shared" si="30"/>
        <v>0</v>
      </c>
      <c r="P39" s="473">
        <f t="shared" si="30"/>
        <v>0</v>
      </c>
    </row>
    <row r="40" spans="1:16" ht="12.75">
      <c r="A40" s="312" t="s">
        <v>36</v>
      </c>
      <c r="B40" s="440">
        <f>Pressupostos!$B$21</f>
        <v>0.23</v>
      </c>
      <c r="C40" s="443">
        <f t="shared" si="2"/>
        <v>1</v>
      </c>
      <c r="D40" s="440"/>
      <c r="E40" s="435"/>
      <c r="F40" s="473">
        <f t="shared" si="22"/>
        <v>0</v>
      </c>
      <c r="G40" s="473">
        <f t="shared" si="23"/>
        <v>0</v>
      </c>
      <c r="H40" s="473">
        <f t="shared" si="24"/>
        <v>0</v>
      </c>
      <c r="I40" s="473">
        <f t="shared" si="25"/>
        <v>0</v>
      </c>
      <c r="J40" s="473">
        <f aca="true" t="shared" si="31" ref="J40:P40">+I40*(1+J$9)</f>
        <v>0</v>
      </c>
      <c r="K40" s="473">
        <f t="shared" si="31"/>
        <v>0</v>
      </c>
      <c r="L40" s="473">
        <f t="shared" si="31"/>
        <v>0</v>
      </c>
      <c r="M40" s="473">
        <f t="shared" si="31"/>
        <v>0</v>
      </c>
      <c r="N40" s="473">
        <f t="shared" si="31"/>
        <v>0</v>
      </c>
      <c r="O40" s="473">
        <f t="shared" si="31"/>
        <v>0</v>
      </c>
      <c r="P40" s="473">
        <f t="shared" si="31"/>
        <v>0</v>
      </c>
    </row>
    <row r="41" spans="1:16" ht="12.75">
      <c r="A41" s="312" t="s">
        <v>43</v>
      </c>
      <c r="B41" s="440">
        <f>Pressupostos!$B$21</f>
        <v>0.23</v>
      </c>
      <c r="C41" s="443">
        <f t="shared" si="2"/>
        <v>1</v>
      </c>
      <c r="D41" s="440"/>
      <c r="E41" s="435"/>
      <c r="F41" s="473">
        <f t="shared" si="22"/>
        <v>0</v>
      </c>
      <c r="G41" s="473">
        <f t="shared" si="23"/>
        <v>0</v>
      </c>
      <c r="H41" s="473">
        <f t="shared" si="24"/>
        <v>0</v>
      </c>
      <c r="I41" s="473">
        <f t="shared" si="25"/>
        <v>0</v>
      </c>
      <c r="J41" s="473">
        <f aca="true" t="shared" si="32" ref="J41:P41">+I41*(1+J$9)</f>
        <v>0</v>
      </c>
      <c r="K41" s="473">
        <f t="shared" si="32"/>
        <v>0</v>
      </c>
      <c r="L41" s="473">
        <f t="shared" si="32"/>
        <v>0</v>
      </c>
      <c r="M41" s="473">
        <f t="shared" si="32"/>
        <v>0</v>
      </c>
      <c r="N41" s="473">
        <f t="shared" si="32"/>
        <v>0</v>
      </c>
      <c r="O41" s="473">
        <f t="shared" si="32"/>
        <v>0</v>
      </c>
      <c r="P41" s="473">
        <f t="shared" si="32"/>
        <v>0</v>
      </c>
    </row>
    <row r="42" spans="1:16" ht="12.75">
      <c r="A42" s="101" t="s">
        <v>335</v>
      </c>
      <c r="B42" s="440">
        <f>Pressupostos!$B$21</f>
        <v>0.23</v>
      </c>
      <c r="C42" s="443">
        <f t="shared" si="2"/>
        <v>1</v>
      </c>
      <c r="D42" s="440"/>
      <c r="E42" s="435"/>
      <c r="F42" s="473">
        <f t="shared" si="22"/>
        <v>0</v>
      </c>
      <c r="G42" s="473">
        <f t="shared" si="23"/>
        <v>0</v>
      </c>
      <c r="H42" s="473">
        <f t="shared" si="24"/>
        <v>0</v>
      </c>
      <c r="I42" s="473">
        <f t="shared" si="25"/>
        <v>0</v>
      </c>
      <c r="J42" s="473">
        <f aca="true" t="shared" si="33" ref="J42:P42">+I42*(1+J$9)</f>
        <v>0</v>
      </c>
      <c r="K42" s="473">
        <f t="shared" si="33"/>
        <v>0</v>
      </c>
      <c r="L42" s="473">
        <f t="shared" si="33"/>
        <v>0</v>
      </c>
      <c r="M42" s="473">
        <f t="shared" si="33"/>
        <v>0</v>
      </c>
      <c r="N42" s="473">
        <f t="shared" si="33"/>
        <v>0</v>
      </c>
      <c r="O42" s="473">
        <f t="shared" si="33"/>
        <v>0</v>
      </c>
      <c r="P42" s="473">
        <f t="shared" si="33"/>
        <v>0</v>
      </c>
    </row>
    <row r="43" spans="1:16" ht="15" customHeight="1" thickBot="1">
      <c r="A43" s="517" t="s">
        <v>19</v>
      </c>
      <c r="B43" s="518"/>
      <c r="C43" s="518"/>
      <c r="D43" s="518"/>
      <c r="E43" s="519"/>
      <c r="F43" s="438">
        <f aca="true" t="shared" si="34" ref="F43:P43">SUM(F13:F42)</f>
        <v>0</v>
      </c>
      <c r="G43" s="438">
        <f t="shared" si="34"/>
        <v>0</v>
      </c>
      <c r="H43" s="438">
        <f>SUM(H13:H42)</f>
        <v>0</v>
      </c>
      <c r="I43" s="438">
        <f>SUM(I13:I42)</f>
        <v>0</v>
      </c>
      <c r="J43" s="438">
        <f>SUM(J13:J42)</f>
        <v>0</v>
      </c>
      <c r="K43" s="438">
        <f>SUM(K13:K42)</f>
        <v>0</v>
      </c>
      <c r="L43" s="438">
        <f>SUM(L13:L42)</f>
        <v>0</v>
      </c>
      <c r="M43" s="438">
        <f t="shared" si="34"/>
        <v>0</v>
      </c>
      <c r="N43" s="438">
        <f t="shared" si="34"/>
        <v>0</v>
      </c>
      <c r="O43" s="438">
        <f t="shared" si="34"/>
        <v>0</v>
      </c>
      <c r="P43" s="438">
        <f t="shared" si="34"/>
        <v>0</v>
      </c>
    </row>
    <row r="44" spans="1:16" ht="13.5" thickTop="1">
      <c r="A44" s="57"/>
      <c r="B44" s="57"/>
      <c r="C44" s="409"/>
      <c r="D44" s="409"/>
      <c r="E44" s="57"/>
      <c r="F44" s="375"/>
      <c r="G44" s="375"/>
      <c r="H44" s="375"/>
      <c r="I44" s="375"/>
      <c r="J44" s="375"/>
      <c r="K44" s="375"/>
      <c r="L44" s="375"/>
      <c r="M44" s="375"/>
      <c r="N44" s="375"/>
      <c r="O44" s="375"/>
      <c r="P44" s="375"/>
    </row>
    <row r="45" spans="1:16" ht="14.25" customHeight="1" thickBot="1">
      <c r="A45" s="514" t="s">
        <v>398</v>
      </c>
      <c r="B45" s="515"/>
      <c r="C45" s="515"/>
      <c r="D45" s="515"/>
      <c r="E45" s="372"/>
      <c r="F45" s="376">
        <f aca="true" t="shared" si="35" ref="F45:P45">(F13*$C$13)+(F15*$C$15)+(F16*$C$16)+(F17*$C$17)+(F18*$C$18)+(F19*$C$19)+(F20*$C$20)+(F22*$C$22)+(F23*$C$23)+(F24*$C$24)+(F25*$C$25)+(F27*$C$27)+(F28*$C$28)+(F29*$C$29)+(F31*$C$31)+(F32*$C$32)+(F33*$C$33)+(F35*$C$35)+(F36*$C$36)+(F37*$C$37)+(F38*$C$38)+(F39*$C$39)+(F40*$C$40)+(F41*$C$41)+(F42*$C$42)</f>
        <v>0</v>
      </c>
      <c r="G45" s="376">
        <f t="shared" si="35"/>
        <v>0</v>
      </c>
      <c r="H45" s="376">
        <f>(H13*$C$13)+(H15*$C$15)+(H16*$C$16)+(H17*$C$17)+(H18*$C$18)+(H19*$C$19)+(H20*$C$20)+(H22*$C$22)+(H23*$C$23)+(H24*$C$24)+(H25*$C$25)+(H27*$C$27)+(H28*$C$28)+(H29*$C$29)+(H31*$C$31)+(H32*$C$32)+(H33*$C$33)+(H35*$C$35)+(H36*$C$36)+(H37*$C$37)+(H38*$C$38)+(H39*$C$39)+(H40*$C$40)+(H41*$C$41)+(H42*$C$42)</f>
        <v>0</v>
      </c>
      <c r="I45" s="376">
        <f>(I13*$C$13)+(I15*$C$15)+(I16*$C$16)+(I17*$C$17)+(I18*$C$18)+(I19*$C$19)+(I20*$C$20)+(I22*$C$22)+(I23*$C$23)+(I24*$C$24)+(I25*$C$25)+(I27*$C$27)+(I28*$C$28)+(I29*$C$29)+(I31*$C$31)+(I32*$C$32)+(I33*$C$33)+(I35*$C$35)+(I36*$C$36)+(I37*$C$37)+(I38*$C$38)+(I39*$C$39)+(I40*$C$40)+(I41*$C$41)+(I42*$C$42)</f>
        <v>0</v>
      </c>
      <c r="J45" s="376">
        <f>(J13*$C$13)+(J15*$C$15)+(J16*$C$16)+(J17*$C$17)+(J18*$C$18)+(J19*$C$19)+(J20*$C$20)+(J22*$C$22)+(J23*$C$23)+(J24*$C$24)+(J25*$C$25)+(J27*$C$27)+(J28*$C$28)+(J29*$C$29)+(J31*$C$31)+(J32*$C$32)+(J33*$C$33)+(J35*$C$35)+(J36*$C$36)+(J37*$C$37)+(J38*$C$38)+(J39*$C$39)+(J40*$C$40)+(J41*$C$41)+(J42*$C$42)</f>
        <v>0</v>
      </c>
      <c r="K45" s="376">
        <f>(K13*$C$13)+(K15*$C$15)+(K16*$C$16)+(K17*$C$17)+(K18*$C$18)+(K19*$C$19)+(K20*$C$20)+(K22*$C$22)+(K23*$C$23)+(K24*$C$24)+(K25*$C$25)+(K27*$C$27)+(K28*$C$28)+(K29*$C$29)+(K31*$C$31)+(K32*$C$32)+(K33*$C$33)+(K35*$C$35)+(K36*$C$36)+(K37*$C$37)+(K38*$C$38)+(K39*$C$39)+(K40*$C$40)+(K41*$C$41)+(K42*$C$42)</f>
        <v>0</v>
      </c>
      <c r="L45" s="376">
        <f>(L13*$C$13)+(L15*$C$15)+(L16*$C$16)+(L17*$C$17)+(L18*$C$18)+(L19*$C$19)+(L20*$C$20)+(L22*$C$22)+(L23*$C$23)+(L24*$C$24)+(L25*$C$25)+(L27*$C$27)+(L28*$C$28)+(L29*$C$29)+(L31*$C$31)+(L32*$C$32)+(L33*$C$33)+(L35*$C$35)+(L36*$C$36)+(L37*$C$37)+(L38*$C$38)+(L39*$C$39)+(L40*$C$40)+(L41*$C$41)+(L42*$C$42)</f>
        <v>0</v>
      </c>
      <c r="M45" s="376">
        <f t="shared" si="35"/>
        <v>0</v>
      </c>
      <c r="N45" s="376">
        <f t="shared" si="35"/>
        <v>0</v>
      </c>
      <c r="O45" s="376">
        <f t="shared" si="35"/>
        <v>0</v>
      </c>
      <c r="P45" s="376">
        <f t="shared" si="35"/>
        <v>0</v>
      </c>
    </row>
    <row r="46" spans="1:16" ht="13.5" thickTop="1">
      <c r="A46" s="373"/>
      <c r="B46" s="373"/>
      <c r="C46" s="409"/>
      <c r="D46" s="409"/>
      <c r="E46" s="373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</row>
    <row r="47" spans="1:16" ht="13.5" thickBot="1">
      <c r="A47" s="514" t="s">
        <v>399</v>
      </c>
      <c r="B47" s="515"/>
      <c r="C47" s="515"/>
      <c r="D47" s="515"/>
      <c r="E47" s="372"/>
      <c r="F47" s="376">
        <f aca="true" t="shared" si="36" ref="F47:P47">(F13*$D$13)+(F15*$D$15)+(F16*$D$16)+(F17*$D$17)+(F18*$D$18)+(F19*$D$19)+(F20*$D$20)+(F22*$D$22)+(F23*$D$23)+(F24*$D$24)+(F25*$D$25)+(F27*$D$27)+(F28*$D$28)+(F29*$D$29)+(F31*$D$31)+(F32*$D$32)+(F33*$D$33)+(F35*$D$35)+(F36*$D$36)+(F37*$D$37)+(F38*$D$38)+(F39*$D$39)+(F40*$D$40)+(F41*$D$41)+(F42*$D$42)</f>
        <v>0</v>
      </c>
      <c r="G47" s="376">
        <f t="shared" si="36"/>
        <v>0</v>
      </c>
      <c r="H47" s="376">
        <f>(H13*$D$13)+(H15*$D$15)+(H16*$D$16)+(H17*$D$17)+(H18*$D$18)+(H19*$D$19)+(H20*$D$20)+(H22*$D$22)+(H23*$D$23)+(H24*$D$24)+(H25*$D$25)+(H27*$D$27)+(H28*$D$28)+(H29*$D$29)+(H31*$D$31)+(H32*$D$32)+(H33*$D$33)+(H35*$D$35)+(H36*$D$36)+(H37*$D$37)+(H38*$D$38)+(H39*$D$39)+(H40*$D$40)+(H41*$D$41)+(H42*$D$42)</f>
        <v>0</v>
      </c>
      <c r="I47" s="376">
        <f>(I13*$D$13)+(I15*$D$15)+(I16*$D$16)+(I17*$D$17)+(I18*$D$18)+(I19*$D$19)+(I20*$D$20)+(I22*$D$22)+(I23*$D$23)+(I24*$D$24)+(I25*$D$25)+(I27*$D$27)+(I28*$D$28)+(I29*$D$29)+(I31*$D$31)+(I32*$D$32)+(I33*$D$33)+(I35*$D$35)+(I36*$D$36)+(I37*$D$37)+(I38*$D$38)+(I39*$D$39)+(I40*$D$40)+(I41*$D$41)+(I42*$D$42)</f>
        <v>0</v>
      </c>
      <c r="J47" s="376">
        <f>(J13*$D$13)+(J15*$D$15)+(J16*$D$16)+(J17*$D$17)+(J18*$D$18)+(J19*$D$19)+(J20*$D$20)+(J22*$D$22)+(J23*$D$23)+(J24*$D$24)+(J25*$D$25)+(J27*$D$27)+(J28*$D$28)+(J29*$D$29)+(J31*$D$31)+(J32*$D$32)+(J33*$D$33)+(J35*$D$35)+(J36*$D$36)+(J37*$D$37)+(J38*$D$38)+(J39*$D$39)+(J40*$D$40)+(J41*$D$41)+(J42*$D$42)</f>
        <v>0</v>
      </c>
      <c r="K47" s="376">
        <f>(K13*$D$13)+(K15*$D$15)+(K16*$D$16)+(K17*$D$17)+(K18*$D$18)+(K19*$D$19)+(K20*$D$20)+(K22*$D$22)+(K23*$D$23)+(K24*$D$24)+(K25*$D$25)+(K27*$D$27)+(K28*$D$28)+(K29*$D$29)+(K31*$D$31)+(K32*$D$32)+(K33*$D$33)+(K35*$D$35)+(K36*$D$36)+(K37*$D$37)+(K38*$D$38)+(K39*$D$39)+(K40*$D$40)+(K41*$D$41)+(K42*$D$42)</f>
        <v>0</v>
      </c>
      <c r="L47" s="376">
        <f>(L13*$D$13)+(L15*$D$15)+(L16*$D$16)+(L17*$D$17)+(L18*$D$18)+(L19*$D$19)+(L20*$D$20)+(L22*$D$22)+(L23*$D$23)+(L24*$D$24)+(L25*$D$25)+(L27*$D$27)+(L28*$D$28)+(L29*$D$29)+(L31*$D$31)+(L32*$D$32)+(L33*$D$33)+(L35*$D$35)+(L36*$D$36)+(L37*$D$37)+(L38*$D$38)+(L39*$D$39)+(L40*$D$40)+(L41*$D$41)+(L42*$D$42)</f>
        <v>0</v>
      </c>
      <c r="M47" s="376">
        <f t="shared" si="36"/>
        <v>0</v>
      </c>
      <c r="N47" s="376">
        <f t="shared" si="36"/>
        <v>0</v>
      </c>
      <c r="O47" s="376">
        <f t="shared" si="36"/>
        <v>0</v>
      </c>
      <c r="P47" s="376">
        <f t="shared" si="36"/>
        <v>0</v>
      </c>
    </row>
    <row r="48" spans="1:16" ht="13.5" thickTop="1">
      <c r="A48" s="373"/>
      <c r="B48" s="373"/>
      <c r="C48" s="409"/>
      <c r="D48" s="409"/>
      <c r="E48" s="373"/>
      <c r="F48" s="375"/>
      <c r="G48" s="375"/>
      <c r="H48" s="375"/>
      <c r="I48" s="375"/>
      <c r="J48" s="375"/>
      <c r="K48" s="375"/>
      <c r="L48" s="375"/>
      <c r="M48" s="375"/>
      <c r="N48" s="375"/>
      <c r="O48" s="375"/>
      <c r="P48" s="375"/>
    </row>
    <row r="49" spans="1:16" ht="13.5" thickBot="1">
      <c r="A49" s="514" t="s">
        <v>400</v>
      </c>
      <c r="B49" s="515"/>
      <c r="C49" s="515"/>
      <c r="D49" s="515"/>
      <c r="E49" s="372"/>
      <c r="F49" s="376">
        <f aca="true" t="shared" si="37" ref="F49:P49">F45+F47</f>
        <v>0</v>
      </c>
      <c r="G49" s="376">
        <f t="shared" si="37"/>
        <v>0</v>
      </c>
      <c r="H49" s="376">
        <f>H45+H47</f>
        <v>0</v>
      </c>
      <c r="I49" s="376">
        <f>I45+I47</f>
        <v>0</v>
      </c>
      <c r="J49" s="376">
        <f>J45+J47</f>
        <v>0</v>
      </c>
      <c r="K49" s="376">
        <f>K45+K47</f>
        <v>0</v>
      </c>
      <c r="L49" s="376">
        <f>L45+L47</f>
        <v>0</v>
      </c>
      <c r="M49" s="376">
        <f t="shared" si="37"/>
        <v>0</v>
      </c>
      <c r="N49" s="376">
        <f t="shared" si="37"/>
        <v>0</v>
      </c>
      <c r="O49" s="376">
        <f t="shared" si="37"/>
        <v>0</v>
      </c>
      <c r="P49" s="376">
        <f t="shared" si="37"/>
        <v>0</v>
      </c>
    </row>
    <row r="50" spans="1:16" ht="13.5" thickTop="1">
      <c r="A50" s="373"/>
      <c r="B50" s="373"/>
      <c r="C50" s="409"/>
      <c r="D50" s="409"/>
      <c r="E50" s="373"/>
      <c r="F50" s="375"/>
      <c r="G50" s="375"/>
      <c r="H50" s="375"/>
      <c r="I50" s="375"/>
      <c r="J50" s="375"/>
      <c r="K50" s="375"/>
      <c r="L50" s="375"/>
      <c r="M50" s="375"/>
      <c r="N50" s="375"/>
      <c r="O50" s="375"/>
      <c r="P50" s="375"/>
    </row>
    <row r="51" spans="1:16" ht="13.5" thickBot="1">
      <c r="A51" s="520" t="s">
        <v>62</v>
      </c>
      <c r="B51" s="520"/>
      <c r="C51" s="520"/>
      <c r="D51" s="520"/>
      <c r="E51" s="520"/>
      <c r="F51" s="377">
        <f aca="true" t="shared" si="38" ref="F51:P51">(F13*$B$13)+(F15*$B$15)+(F16*$B$16)+(F17*$B$17)+(F18*$B$18)+(F19*$B$19)+(F20*$B$20)+(F22*$B$22)+(F23*$B$23)+(F24*$B$24)+(F25*$B$25)+(F27*$B$27)+(F29*$B$29)+(F36*$B$36)+(F41*$B$41)</f>
        <v>0</v>
      </c>
      <c r="G51" s="377">
        <f t="shared" si="38"/>
        <v>0</v>
      </c>
      <c r="H51" s="377">
        <f>(H13*$B$13)+(H15*$B$15)+(H16*$B$16)+(H17*$B$17)+(H18*$B$18)+(H19*$B$19)+(H20*$B$20)+(H22*$B$22)+(H23*$B$23)+(H24*$B$24)+(H25*$B$25)+(H27*$B$27)+(H29*$B$29)+(H36*$B$36)+(H41*$B$41)</f>
        <v>0</v>
      </c>
      <c r="I51" s="377">
        <f>(I13*$B$13)+(I15*$B$15)+(I16*$B$16)+(I17*$B$17)+(I18*$B$18)+(I19*$B$19)+(I20*$B$20)+(I22*$B$22)+(I23*$B$23)+(I24*$B$24)+(I25*$B$25)+(I27*$B$27)+(I29*$B$29)+(I36*$B$36)+(I41*$B$41)</f>
        <v>0</v>
      </c>
      <c r="J51" s="377">
        <f>(J13*$B$13)+(J15*$B$15)+(J16*$B$16)+(J17*$B$17)+(J18*$B$18)+(J19*$B$19)+(J20*$B$20)+(J22*$B$22)+(J23*$B$23)+(J24*$B$24)+(J25*$B$25)+(J27*$B$27)+(J29*$B$29)+(J36*$B$36)+(J41*$B$41)</f>
        <v>0</v>
      </c>
      <c r="K51" s="377">
        <f>(K13*$B$13)+(K15*$B$15)+(K16*$B$16)+(K17*$B$17)+(K18*$B$18)+(K19*$B$19)+(K20*$B$20)+(K22*$B$22)+(K23*$B$23)+(K24*$B$24)+(K25*$B$25)+(K27*$B$27)+(K29*$B$29)+(K36*$B$36)+(K41*$B$41)</f>
        <v>0</v>
      </c>
      <c r="L51" s="377">
        <f>(L13*$B$13)+(L15*$B$15)+(L16*$B$16)+(L17*$B$17)+(L18*$B$18)+(L19*$B$19)+(L20*$B$20)+(L22*$B$22)+(L23*$B$23)+(L24*$B$24)+(L25*$B$25)+(L27*$B$27)+(L29*$B$29)+(L36*$B$36)+(L41*$B$41)</f>
        <v>0</v>
      </c>
      <c r="M51" s="377">
        <f t="shared" si="38"/>
        <v>0</v>
      </c>
      <c r="N51" s="377">
        <f t="shared" si="38"/>
        <v>0</v>
      </c>
      <c r="O51" s="377">
        <f t="shared" si="38"/>
        <v>0</v>
      </c>
      <c r="P51" s="377">
        <f t="shared" si="38"/>
        <v>0</v>
      </c>
    </row>
    <row r="52" spans="1:16" ht="13.5" thickTop="1">
      <c r="A52" s="373"/>
      <c r="B52" s="373"/>
      <c r="C52" s="409"/>
      <c r="D52" s="409"/>
      <c r="E52" s="373"/>
      <c r="F52" s="375"/>
      <c r="G52" s="375"/>
      <c r="H52" s="375"/>
      <c r="I52" s="375"/>
      <c r="J52" s="375"/>
      <c r="K52" s="375"/>
      <c r="L52" s="375"/>
      <c r="M52" s="375"/>
      <c r="N52" s="375"/>
      <c r="O52" s="375"/>
      <c r="P52" s="375"/>
    </row>
    <row r="53" spans="1:16" ht="13.5" thickBot="1">
      <c r="A53" s="516" t="s">
        <v>60</v>
      </c>
      <c r="B53" s="516"/>
      <c r="C53" s="516"/>
      <c r="D53" s="516"/>
      <c r="E53" s="516"/>
      <c r="F53" s="378">
        <f aca="true" t="shared" si="39" ref="F53:P53">F43+F51</f>
        <v>0</v>
      </c>
      <c r="G53" s="378">
        <f t="shared" si="39"/>
        <v>0</v>
      </c>
      <c r="H53" s="378">
        <f>H43+H51</f>
        <v>0</v>
      </c>
      <c r="I53" s="378">
        <f>I43+I51</f>
        <v>0</v>
      </c>
      <c r="J53" s="378">
        <f>J43+J51</f>
        <v>0</v>
      </c>
      <c r="K53" s="378">
        <f>K43+K51</f>
        <v>0</v>
      </c>
      <c r="L53" s="378">
        <f>L43+L51</f>
        <v>0</v>
      </c>
      <c r="M53" s="378">
        <f t="shared" si="39"/>
        <v>0</v>
      </c>
      <c r="N53" s="378">
        <f t="shared" si="39"/>
        <v>0</v>
      </c>
      <c r="O53" s="378">
        <f t="shared" si="39"/>
        <v>0</v>
      </c>
      <c r="P53" s="378">
        <f t="shared" si="39"/>
        <v>0</v>
      </c>
    </row>
    <row r="54" ht="13.5" thickTop="1"/>
  </sheetData>
  <sheetProtection password="8318" sheet="1"/>
  <mergeCells count="7">
    <mergeCell ref="A49:D49"/>
    <mergeCell ref="A53:E53"/>
    <mergeCell ref="A4:P4"/>
    <mergeCell ref="A43:E43"/>
    <mergeCell ref="A51:E51"/>
    <mergeCell ref="A45:D45"/>
    <mergeCell ref="A47:D47"/>
  </mergeCells>
  <printOptions horizontalCentered="1"/>
  <pageMargins left="0.75" right="0.75" top="0.3937007874015748" bottom="0.3937007874015748" header="0.5118110236220472" footer="0.5118110236220472"/>
  <pageSetup horizontalDpi="600" verticalDpi="600" orientation="portrait" paperSize="9" scale="80" r:id="rId2"/>
  <headerFooter alignWithMargins="0">
    <oddFooter>&amp;C&amp;"Arial,Normal"&amp;8IAPMEI&amp;R&amp;"Arial,Normal"&amp;8&amp;P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N105"/>
  <sheetViews>
    <sheetView showGridLines="0" showZeros="0" zoomScalePageLayoutView="0" workbookViewId="0" topLeftCell="A1">
      <selection activeCell="O64" sqref="O64"/>
    </sheetView>
  </sheetViews>
  <sheetFormatPr defaultColWidth="8.7109375" defaultRowHeight="12.75"/>
  <cols>
    <col min="1" max="1" width="23.28125" style="67" customWidth="1"/>
    <col min="2" max="2" width="5.28125" style="67" customWidth="1"/>
    <col min="3" max="3" width="6.140625" style="67" customWidth="1"/>
    <col min="4" max="14" width="8.28125" style="67" customWidth="1"/>
    <col min="15" max="18" width="11.421875" style="67" customWidth="1"/>
    <col min="19" max="42" width="11.7109375" style="67" customWidth="1"/>
    <col min="43" max="16384" width="8.7109375" style="67" customWidth="1"/>
  </cols>
  <sheetData>
    <row r="1" spans="1:14" ht="12.75">
      <c r="A1" s="57"/>
      <c r="B1" s="57"/>
      <c r="C1" s="47"/>
      <c r="D1" s="47"/>
      <c r="E1" s="47"/>
      <c r="F1" s="47"/>
      <c r="G1" s="47"/>
      <c r="H1" s="47"/>
      <c r="I1" s="47"/>
      <c r="J1" s="47"/>
      <c r="K1" s="47"/>
      <c r="L1" s="47"/>
      <c r="M1" s="92" t="str">
        <f>+VN!L1</f>
        <v>Empresa:</v>
      </c>
      <c r="N1" s="49" t="str">
        <f>+Pressupostos!E1</f>
        <v>XPTO SA</v>
      </c>
    </row>
    <row r="2" spans="1:14" ht="12.75">
      <c r="A2" s="102"/>
      <c r="B2" s="102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52" t="str">
        <f>+Pressupostos!B9</f>
        <v>Euros</v>
      </c>
    </row>
    <row r="3" spans="1:14" ht="12.75">
      <c r="A3" s="102"/>
      <c r="B3" s="102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52"/>
    </row>
    <row r="4" spans="1:14" ht="15.75">
      <c r="A4" s="508" t="s">
        <v>264</v>
      </c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</row>
    <row r="5" spans="1:14" ht="12.7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ht="12.75">
      <c r="A6" s="55"/>
      <c r="B6" s="94"/>
      <c r="C6" s="94"/>
      <c r="D6" s="54">
        <f>+VN!C8</f>
        <v>2016</v>
      </c>
      <c r="E6" s="54">
        <f>+VN!D8</f>
        <v>2017</v>
      </c>
      <c r="F6" s="54">
        <f>+VN!E8</f>
        <v>2018</v>
      </c>
      <c r="G6" s="54">
        <f>+VN!F8</f>
        <v>2019</v>
      </c>
      <c r="H6" s="54">
        <f>+VN!G8</f>
        <v>2020</v>
      </c>
      <c r="I6" s="54">
        <f>+VN!H8</f>
        <v>2021</v>
      </c>
      <c r="J6" s="54">
        <f>+VN!I8</f>
        <v>2022</v>
      </c>
      <c r="K6" s="54">
        <f>+VN!J8</f>
        <v>2023</v>
      </c>
      <c r="L6" s="54">
        <f>+VN!K8</f>
        <v>2024</v>
      </c>
      <c r="M6" s="54">
        <f>+VN!L8</f>
        <v>2025</v>
      </c>
      <c r="N6" s="54">
        <f>+VN!M8</f>
        <v>2026</v>
      </c>
    </row>
    <row r="7" spans="1:14" ht="12.75">
      <c r="A7" s="95" t="s">
        <v>32</v>
      </c>
      <c r="B7" s="96"/>
      <c r="C7" s="97"/>
      <c r="D7" s="34">
        <v>0</v>
      </c>
      <c r="E7" s="34"/>
      <c r="F7" s="34"/>
      <c r="G7" s="34"/>
      <c r="H7" s="142">
        <f>+G7</f>
        <v>0</v>
      </c>
      <c r="I7" s="142">
        <f aca="true" t="shared" si="0" ref="I7:N7">+H7</f>
        <v>0</v>
      </c>
      <c r="J7" s="142">
        <f t="shared" si="0"/>
        <v>0</v>
      </c>
      <c r="K7" s="142">
        <f t="shared" si="0"/>
        <v>0</v>
      </c>
      <c r="L7" s="142">
        <f t="shared" si="0"/>
        <v>0</v>
      </c>
      <c r="M7" s="142">
        <f t="shared" si="0"/>
        <v>0</v>
      </c>
      <c r="N7" s="142">
        <f t="shared" si="0"/>
        <v>0</v>
      </c>
    </row>
    <row r="8" spans="1:14" ht="12.75">
      <c r="A8" s="95" t="s">
        <v>185</v>
      </c>
      <c r="B8" s="96"/>
      <c r="C8" s="97"/>
      <c r="D8" s="99">
        <v>0</v>
      </c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4" ht="12.75">
      <c r="A9" s="103"/>
      <c r="B9" s="103"/>
      <c r="C9" s="104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1:14" ht="12.75">
      <c r="A10" s="103"/>
      <c r="B10" s="103"/>
      <c r="C10" s="104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1:14" ht="12.75">
      <c r="A11" s="524" t="s">
        <v>407</v>
      </c>
      <c r="B11" s="525"/>
      <c r="C11" s="526"/>
      <c r="D11" s="54">
        <f aca="true" t="shared" si="1" ref="D11:N11">+D6</f>
        <v>2016</v>
      </c>
      <c r="E11" s="54">
        <f t="shared" si="1"/>
        <v>2017</v>
      </c>
      <c r="F11" s="54">
        <f aca="true" t="shared" si="2" ref="F11:K11">+F6</f>
        <v>2018</v>
      </c>
      <c r="G11" s="54">
        <f t="shared" si="2"/>
        <v>2019</v>
      </c>
      <c r="H11" s="54">
        <f t="shared" si="2"/>
        <v>2020</v>
      </c>
      <c r="I11" s="54">
        <f t="shared" si="2"/>
        <v>2021</v>
      </c>
      <c r="J11" s="54">
        <f t="shared" si="2"/>
        <v>2022</v>
      </c>
      <c r="K11" s="54">
        <f t="shared" si="2"/>
        <v>2023</v>
      </c>
      <c r="L11" s="54">
        <f t="shared" si="1"/>
        <v>2024</v>
      </c>
      <c r="M11" s="54">
        <f t="shared" si="1"/>
        <v>2025</v>
      </c>
      <c r="N11" s="54">
        <f t="shared" si="1"/>
        <v>2026</v>
      </c>
    </row>
    <row r="12" spans="1:14" ht="12.75">
      <c r="A12" s="105" t="s">
        <v>218</v>
      </c>
      <c r="B12" s="96"/>
      <c r="C12" s="97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</row>
    <row r="13" spans="1:14" ht="12.75">
      <c r="A13" s="42" t="s">
        <v>219</v>
      </c>
      <c r="B13" s="106"/>
      <c r="C13" s="107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1:14" ht="12.75">
      <c r="A14" s="42" t="s">
        <v>220</v>
      </c>
      <c r="B14" s="106"/>
      <c r="C14" s="107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1:14" ht="12.75">
      <c r="A15" s="42" t="s">
        <v>221</v>
      </c>
      <c r="B15" s="106"/>
      <c r="C15" s="107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spans="1:14" ht="12.75">
      <c r="A16" s="42" t="s">
        <v>222</v>
      </c>
      <c r="B16" s="106"/>
      <c r="C16" s="107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1:14" ht="12.75">
      <c r="A17" s="42" t="s">
        <v>223</v>
      </c>
      <c r="B17" s="106"/>
      <c r="C17" s="107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1:14" ht="12.75">
      <c r="A18" s="42" t="s">
        <v>224</v>
      </c>
      <c r="B18" s="106"/>
      <c r="C18" s="107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</row>
    <row r="19" spans="1:14" ht="12.75">
      <c r="A19" s="42" t="s">
        <v>225</v>
      </c>
      <c r="B19" s="106"/>
      <c r="C19" s="107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0" spans="1:14" ht="12.75">
      <c r="A20" s="42" t="s">
        <v>226</v>
      </c>
      <c r="B20" s="106"/>
      <c r="C20" s="107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</row>
    <row r="21" spans="1:14" ht="12.75">
      <c r="A21" s="43"/>
      <c r="B21" s="108"/>
      <c r="C21" s="109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1:14" ht="12.75">
      <c r="A22" s="43"/>
      <c r="B22" s="108"/>
      <c r="C22" s="109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</row>
    <row r="23" spans="1:14" ht="13.5" thickBot="1">
      <c r="A23" s="517" t="s">
        <v>46</v>
      </c>
      <c r="B23" s="518"/>
      <c r="C23" s="519"/>
      <c r="D23" s="110">
        <f aca="true" t="shared" si="3" ref="D23:N23">+SUM(D12:D22)</f>
        <v>0</v>
      </c>
      <c r="E23" s="110">
        <f t="shared" si="3"/>
        <v>0</v>
      </c>
      <c r="F23" s="110">
        <f aca="true" t="shared" si="4" ref="F23:K23">+SUM(F12:F22)</f>
        <v>0</v>
      </c>
      <c r="G23" s="110">
        <f t="shared" si="4"/>
        <v>0</v>
      </c>
      <c r="H23" s="110">
        <f t="shared" si="4"/>
        <v>0</v>
      </c>
      <c r="I23" s="110">
        <f t="shared" si="4"/>
        <v>0</v>
      </c>
      <c r="J23" s="110">
        <f t="shared" si="4"/>
        <v>0</v>
      </c>
      <c r="K23" s="110">
        <f t="shared" si="4"/>
        <v>0</v>
      </c>
      <c r="L23" s="110">
        <f t="shared" si="3"/>
        <v>0</v>
      </c>
      <c r="M23" s="110">
        <f t="shared" si="3"/>
        <v>0</v>
      </c>
      <c r="N23" s="110">
        <f t="shared" si="3"/>
        <v>0</v>
      </c>
    </row>
    <row r="24" spans="1:14" ht="13.5" thickTop="1">
      <c r="A24" s="103"/>
      <c r="B24" s="103"/>
      <c r="C24" s="104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</row>
    <row r="25" spans="1:14" ht="12.75">
      <c r="A25" s="103"/>
      <c r="B25" s="103"/>
      <c r="C25" s="104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</row>
    <row r="26" spans="1:14" ht="12.75">
      <c r="A26" s="524" t="s">
        <v>408</v>
      </c>
      <c r="B26" s="525"/>
      <c r="C26" s="526"/>
      <c r="D26" s="54">
        <f aca="true" t="shared" si="5" ref="D26:N26">+D21</f>
        <v>0</v>
      </c>
      <c r="E26" s="54">
        <f t="shared" si="5"/>
        <v>0</v>
      </c>
      <c r="F26" s="54">
        <f aca="true" t="shared" si="6" ref="F26:K26">+F21</f>
        <v>0</v>
      </c>
      <c r="G26" s="54">
        <f t="shared" si="6"/>
        <v>0</v>
      </c>
      <c r="H26" s="54">
        <f t="shared" si="6"/>
        <v>0</v>
      </c>
      <c r="I26" s="54">
        <f t="shared" si="6"/>
        <v>0</v>
      </c>
      <c r="J26" s="54">
        <f t="shared" si="6"/>
        <v>0</v>
      </c>
      <c r="K26" s="54">
        <f t="shared" si="6"/>
        <v>0</v>
      </c>
      <c r="L26" s="54">
        <f t="shared" si="5"/>
        <v>0</v>
      </c>
      <c r="M26" s="54">
        <f t="shared" si="5"/>
        <v>0</v>
      </c>
      <c r="N26" s="54">
        <f t="shared" si="5"/>
        <v>0</v>
      </c>
    </row>
    <row r="27" spans="1:14" ht="12.75">
      <c r="A27" s="105" t="s">
        <v>218</v>
      </c>
      <c r="B27" s="96"/>
      <c r="C27" s="97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</row>
    <row r="28" spans="1:14" ht="12.75">
      <c r="A28" s="42" t="s">
        <v>219</v>
      </c>
      <c r="B28" s="106"/>
      <c r="C28" s="107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</row>
    <row r="29" spans="1:14" ht="12.75">
      <c r="A29" s="42" t="s">
        <v>220</v>
      </c>
      <c r="B29" s="106"/>
      <c r="C29" s="107"/>
      <c r="D29" s="388"/>
      <c r="E29" s="388"/>
      <c r="F29" s="388"/>
      <c r="G29" s="388"/>
      <c r="H29" s="388"/>
      <c r="I29" s="388"/>
      <c r="J29" s="388"/>
      <c r="K29" s="388"/>
      <c r="L29" s="388"/>
      <c r="M29" s="388"/>
      <c r="N29" s="388"/>
    </row>
    <row r="30" spans="1:14" ht="12.75">
      <c r="A30" s="42" t="s">
        <v>221</v>
      </c>
      <c r="B30" s="106"/>
      <c r="C30" s="107"/>
      <c r="D30" s="388"/>
      <c r="E30" s="388"/>
      <c r="F30" s="388"/>
      <c r="G30" s="388"/>
      <c r="H30" s="388"/>
      <c r="I30" s="388"/>
      <c r="J30" s="388"/>
      <c r="K30" s="388"/>
      <c r="L30" s="388"/>
      <c r="M30" s="388"/>
      <c r="N30" s="388"/>
    </row>
    <row r="31" spans="1:14" ht="12.75">
      <c r="A31" s="42" t="s">
        <v>222</v>
      </c>
      <c r="B31" s="106"/>
      <c r="C31" s="107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</row>
    <row r="32" spans="1:14" ht="12.75">
      <c r="A32" s="42" t="s">
        <v>223</v>
      </c>
      <c r="B32" s="106"/>
      <c r="C32" s="107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</row>
    <row r="33" spans="1:14" ht="12.75">
      <c r="A33" s="42" t="s">
        <v>224</v>
      </c>
      <c r="B33" s="106"/>
      <c r="C33" s="107"/>
      <c r="D33" s="388"/>
      <c r="E33" s="388"/>
      <c r="F33" s="388"/>
      <c r="G33" s="388"/>
      <c r="H33" s="388"/>
      <c r="I33" s="388"/>
      <c r="J33" s="388"/>
      <c r="K33" s="388"/>
      <c r="L33" s="388"/>
      <c r="M33" s="388"/>
      <c r="N33" s="388"/>
    </row>
    <row r="34" spans="1:14" ht="12.75">
      <c r="A34" s="42" t="s">
        <v>225</v>
      </c>
      <c r="B34" s="106"/>
      <c r="C34" s="107"/>
      <c r="D34" s="388"/>
      <c r="E34" s="388"/>
      <c r="F34" s="388"/>
      <c r="G34" s="388"/>
      <c r="H34" s="388"/>
      <c r="I34" s="388"/>
      <c r="J34" s="388"/>
      <c r="K34" s="388"/>
      <c r="L34" s="388"/>
      <c r="M34" s="388"/>
      <c r="N34" s="388"/>
    </row>
    <row r="35" spans="1:14" ht="12.75">
      <c r="A35" s="42" t="s">
        <v>226</v>
      </c>
      <c r="B35" s="106"/>
      <c r="C35" s="107"/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8"/>
    </row>
    <row r="36" spans="1:14" ht="12.75">
      <c r="A36" s="43"/>
      <c r="B36" s="108"/>
      <c r="C36" s="109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ht="12.75">
      <c r="A37" s="43"/>
      <c r="B37" s="108"/>
      <c r="C37" s="109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</row>
    <row r="38" spans="1:14" ht="12.75">
      <c r="A38" s="103"/>
      <c r="B38" s="103"/>
      <c r="C38" s="104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</row>
    <row r="39" spans="1:14" ht="12.75">
      <c r="A39" s="103"/>
      <c r="B39" s="103"/>
      <c r="C39" s="104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</row>
    <row r="40" spans="1:14" ht="12.75">
      <c r="A40" s="524" t="s">
        <v>227</v>
      </c>
      <c r="B40" s="525"/>
      <c r="C40" s="526"/>
      <c r="D40" s="54">
        <f aca="true" t="shared" si="7" ref="D40:N40">+D11</f>
        <v>2016</v>
      </c>
      <c r="E40" s="54">
        <f t="shared" si="7"/>
        <v>2017</v>
      </c>
      <c r="F40" s="54">
        <f aca="true" t="shared" si="8" ref="F40:K40">+F11</f>
        <v>2018</v>
      </c>
      <c r="G40" s="54">
        <f t="shared" si="8"/>
        <v>2019</v>
      </c>
      <c r="H40" s="54">
        <f t="shared" si="8"/>
        <v>2020</v>
      </c>
      <c r="I40" s="54">
        <f t="shared" si="8"/>
        <v>2021</v>
      </c>
      <c r="J40" s="54">
        <f t="shared" si="8"/>
        <v>2022</v>
      </c>
      <c r="K40" s="54">
        <f t="shared" si="8"/>
        <v>2023</v>
      </c>
      <c r="L40" s="54">
        <f t="shared" si="7"/>
        <v>2024</v>
      </c>
      <c r="M40" s="54">
        <f t="shared" si="7"/>
        <v>2025</v>
      </c>
      <c r="N40" s="54">
        <f t="shared" si="7"/>
        <v>2026</v>
      </c>
    </row>
    <row r="41" spans="1:14" ht="12.75">
      <c r="A41" s="105" t="str">
        <f aca="true" t="shared" si="9" ref="A41:A51">+A12</f>
        <v>Administração / Direcção</v>
      </c>
      <c r="B41" s="96"/>
      <c r="C41" s="97"/>
      <c r="D41" s="40"/>
      <c r="E41" s="417">
        <f>+ROUND(D41*(1+E8),2)</f>
        <v>0</v>
      </c>
      <c r="F41" s="417">
        <f aca="true" t="shared" si="10" ref="F41:K41">+ROUND(E41*(1+F8),2)</f>
        <v>0</v>
      </c>
      <c r="G41" s="417">
        <f t="shared" si="10"/>
        <v>0</v>
      </c>
      <c r="H41" s="417">
        <f t="shared" si="10"/>
        <v>0</v>
      </c>
      <c r="I41" s="417">
        <f t="shared" si="10"/>
        <v>0</v>
      </c>
      <c r="J41" s="417">
        <f t="shared" si="10"/>
        <v>0</v>
      </c>
      <c r="K41" s="417">
        <f t="shared" si="10"/>
        <v>0</v>
      </c>
      <c r="L41" s="417">
        <f>+ROUND(K41*(1+L8),2)</f>
        <v>0</v>
      </c>
      <c r="M41" s="417">
        <f>+ROUND(L41*(1+M8),2)</f>
        <v>0</v>
      </c>
      <c r="N41" s="417">
        <f>+ROUND(M41*(1+N8),2)</f>
        <v>0</v>
      </c>
    </row>
    <row r="42" spans="1:14" ht="12.75">
      <c r="A42" s="105" t="str">
        <f t="shared" si="9"/>
        <v>Administrativa Financeira</v>
      </c>
      <c r="B42" s="96"/>
      <c r="C42" s="97"/>
      <c r="D42" s="40"/>
      <c r="E42" s="417">
        <f>+ROUND(D42*(1+E8),2)</f>
        <v>0</v>
      </c>
      <c r="F42" s="417">
        <f aca="true" t="shared" si="11" ref="F42:K42">+ROUND(E42*(1+F8),2)</f>
        <v>0</v>
      </c>
      <c r="G42" s="417">
        <f t="shared" si="11"/>
        <v>0</v>
      </c>
      <c r="H42" s="417">
        <f t="shared" si="11"/>
        <v>0</v>
      </c>
      <c r="I42" s="417">
        <f t="shared" si="11"/>
        <v>0</v>
      </c>
      <c r="J42" s="417">
        <f t="shared" si="11"/>
        <v>0</v>
      </c>
      <c r="K42" s="417">
        <f t="shared" si="11"/>
        <v>0</v>
      </c>
      <c r="L42" s="417">
        <f>+ROUND(K42*(1+L8),2)</f>
        <v>0</v>
      </c>
      <c r="M42" s="417">
        <f>+ROUND(L42*(1+M8),2)</f>
        <v>0</v>
      </c>
      <c r="N42" s="417">
        <f>+ROUND(M42*(1+N8),2)</f>
        <v>0</v>
      </c>
    </row>
    <row r="43" spans="1:14" ht="12.75">
      <c r="A43" s="105" t="str">
        <f t="shared" si="9"/>
        <v>Comercial / Marketing</v>
      </c>
      <c r="B43" s="96"/>
      <c r="C43" s="97"/>
      <c r="D43" s="40"/>
      <c r="E43" s="417">
        <f>+ROUND(D43*(1+E8),2)</f>
        <v>0</v>
      </c>
      <c r="F43" s="417">
        <f aca="true" t="shared" si="12" ref="F43:K43">+ROUND(E43*(1+F8),2)</f>
        <v>0</v>
      </c>
      <c r="G43" s="417">
        <f t="shared" si="12"/>
        <v>0</v>
      </c>
      <c r="H43" s="417">
        <f t="shared" si="12"/>
        <v>0</v>
      </c>
      <c r="I43" s="417">
        <f t="shared" si="12"/>
        <v>0</v>
      </c>
      <c r="J43" s="417">
        <f t="shared" si="12"/>
        <v>0</v>
      </c>
      <c r="K43" s="417">
        <f t="shared" si="12"/>
        <v>0</v>
      </c>
      <c r="L43" s="417">
        <f>+ROUND(K43*(1+L8),2)</f>
        <v>0</v>
      </c>
      <c r="M43" s="417">
        <f>+ROUND(L43*(1+M8),2)</f>
        <v>0</v>
      </c>
      <c r="N43" s="417">
        <f>+ROUND(M43*(1+N8),2)</f>
        <v>0</v>
      </c>
    </row>
    <row r="44" spans="1:14" ht="12.75">
      <c r="A44" s="105" t="str">
        <f t="shared" si="9"/>
        <v>Produção / Operacional</v>
      </c>
      <c r="B44" s="96"/>
      <c r="C44" s="97"/>
      <c r="D44" s="40"/>
      <c r="E44" s="417">
        <f>+ROUND(D44*(1+E8),2)</f>
        <v>0</v>
      </c>
      <c r="F44" s="417">
        <f aca="true" t="shared" si="13" ref="F44:K44">+ROUND(E44*(1+F8),2)</f>
        <v>0</v>
      </c>
      <c r="G44" s="417">
        <f t="shared" si="13"/>
        <v>0</v>
      </c>
      <c r="H44" s="417">
        <f t="shared" si="13"/>
        <v>0</v>
      </c>
      <c r="I44" s="417">
        <f t="shared" si="13"/>
        <v>0</v>
      </c>
      <c r="J44" s="417">
        <f t="shared" si="13"/>
        <v>0</v>
      </c>
      <c r="K44" s="417">
        <f t="shared" si="13"/>
        <v>0</v>
      </c>
      <c r="L44" s="417">
        <f>+ROUND(K44*(1+L8),2)</f>
        <v>0</v>
      </c>
      <c r="M44" s="417">
        <f>+ROUND(L44*(1+M8),2)</f>
        <v>0</v>
      </c>
      <c r="N44" s="417">
        <f>+ROUND(M44*(1+N8),2)</f>
        <v>0</v>
      </c>
    </row>
    <row r="45" spans="1:14" ht="12.75">
      <c r="A45" s="105" t="str">
        <f t="shared" si="9"/>
        <v>Qualidade</v>
      </c>
      <c r="B45" s="96"/>
      <c r="C45" s="97"/>
      <c r="D45" s="40"/>
      <c r="E45" s="417">
        <f>+ROUND(D45*(1+E8),2)</f>
        <v>0</v>
      </c>
      <c r="F45" s="417">
        <f aca="true" t="shared" si="14" ref="F45:K45">+ROUND(E45*(1+F8),2)</f>
        <v>0</v>
      </c>
      <c r="G45" s="417">
        <f t="shared" si="14"/>
        <v>0</v>
      </c>
      <c r="H45" s="417">
        <f t="shared" si="14"/>
        <v>0</v>
      </c>
      <c r="I45" s="417">
        <f t="shared" si="14"/>
        <v>0</v>
      </c>
      <c r="J45" s="417">
        <f t="shared" si="14"/>
        <v>0</v>
      </c>
      <c r="K45" s="417">
        <f t="shared" si="14"/>
        <v>0</v>
      </c>
      <c r="L45" s="417">
        <f>+ROUND(K45*(1+L8),2)</f>
        <v>0</v>
      </c>
      <c r="M45" s="417">
        <f>+ROUND(L45*(1+M8),2)</f>
        <v>0</v>
      </c>
      <c r="N45" s="417">
        <f>+ROUND(M45*(1+N8),2)</f>
        <v>0</v>
      </c>
    </row>
    <row r="46" spans="1:14" ht="12.75">
      <c r="A46" s="105" t="str">
        <f t="shared" si="9"/>
        <v>Manutenção</v>
      </c>
      <c r="B46" s="96"/>
      <c r="C46" s="97"/>
      <c r="D46" s="40"/>
      <c r="E46" s="417">
        <f>+ROUND(D46*(1+E8),2)</f>
        <v>0</v>
      </c>
      <c r="F46" s="417">
        <f aca="true" t="shared" si="15" ref="F46:K46">+ROUND(E46*(1+F8),2)</f>
        <v>0</v>
      </c>
      <c r="G46" s="417">
        <f t="shared" si="15"/>
        <v>0</v>
      </c>
      <c r="H46" s="417">
        <f t="shared" si="15"/>
        <v>0</v>
      </c>
      <c r="I46" s="417">
        <f t="shared" si="15"/>
        <v>0</v>
      </c>
      <c r="J46" s="417">
        <f t="shared" si="15"/>
        <v>0</v>
      </c>
      <c r="K46" s="417">
        <f t="shared" si="15"/>
        <v>0</v>
      </c>
      <c r="L46" s="417">
        <f>+ROUND(K46*(1+L8),2)</f>
        <v>0</v>
      </c>
      <c r="M46" s="417">
        <f>+ROUND(L46*(1+M8),2)</f>
        <v>0</v>
      </c>
      <c r="N46" s="417">
        <f>+ROUND(M46*(1+N8),2)</f>
        <v>0</v>
      </c>
    </row>
    <row r="47" spans="1:14" ht="12.75">
      <c r="A47" s="105" t="str">
        <f t="shared" si="9"/>
        <v>Aprovisionamento</v>
      </c>
      <c r="B47" s="96"/>
      <c r="C47" s="97"/>
      <c r="D47" s="40"/>
      <c r="E47" s="417">
        <f>+ROUND(D47*(1+E8),2)</f>
        <v>0</v>
      </c>
      <c r="F47" s="417">
        <f aca="true" t="shared" si="16" ref="F47:K47">+ROUND(E47*(1+F8),2)</f>
        <v>0</v>
      </c>
      <c r="G47" s="417">
        <f t="shared" si="16"/>
        <v>0</v>
      </c>
      <c r="H47" s="417">
        <f t="shared" si="16"/>
        <v>0</v>
      </c>
      <c r="I47" s="417">
        <f t="shared" si="16"/>
        <v>0</v>
      </c>
      <c r="J47" s="417">
        <f t="shared" si="16"/>
        <v>0</v>
      </c>
      <c r="K47" s="417">
        <f t="shared" si="16"/>
        <v>0</v>
      </c>
      <c r="L47" s="417">
        <f>+ROUND(K47*(1+L8),2)</f>
        <v>0</v>
      </c>
      <c r="M47" s="417">
        <f>+ROUND(L47*(1+M8),2)</f>
        <v>0</v>
      </c>
      <c r="N47" s="417">
        <f>+ROUND(M47*(1+N8),2)</f>
        <v>0</v>
      </c>
    </row>
    <row r="48" spans="1:14" ht="12.75">
      <c r="A48" s="105" t="str">
        <f t="shared" si="9"/>
        <v>Investigação &amp; Desenvolvimento</v>
      </c>
      <c r="B48" s="96"/>
      <c r="C48" s="97"/>
      <c r="D48" s="40"/>
      <c r="E48" s="417">
        <f>+ROUND(D48*(1+E8),2)</f>
        <v>0</v>
      </c>
      <c r="F48" s="417">
        <f aca="true" t="shared" si="17" ref="F48:K48">+ROUND(E48*(1+F8),2)</f>
        <v>0</v>
      </c>
      <c r="G48" s="417">
        <f t="shared" si="17"/>
        <v>0</v>
      </c>
      <c r="H48" s="417">
        <f t="shared" si="17"/>
        <v>0</v>
      </c>
      <c r="I48" s="417">
        <f t="shared" si="17"/>
        <v>0</v>
      </c>
      <c r="J48" s="417">
        <f t="shared" si="17"/>
        <v>0</v>
      </c>
      <c r="K48" s="417">
        <f t="shared" si="17"/>
        <v>0</v>
      </c>
      <c r="L48" s="417">
        <f>+ROUND(K48*(1+L8),2)</f>
        <v>0</v>
      </c>
      <c r="M48" s="417">
        <f>+ROUND(L48*(1+M8),2)</f>
        <v>0</v>
      </c>
      <c r="N48" s="417">
        <f>+ROUND(M48*(1+N8),2)</f>
        <v>0</v>
      </c>
    </row>
    <row r="49" spans="1:14" ht="12.75">
      <c r="A49" s="105" t="str">
        <f t="shared" si="9"/>
        <v>Outros</v>
      </c>
      <c r="B49" s="96"/>
      <c r="C49" s="97"/>
      <c r="D49" s="40"/>
      <c r="E49" s="417">
        <f>+ROUND(D49*(1+E8),2)</f>
        <v>0</v>
      </c>
      <c r="F49" s="417">
        <f aca="true" t="shared" si="18" ref="F49:K49">+ROUND(E49*(1+F8),2)</f>
        <v>0</v>
      </c>
      <c r="G49" s="417">
        <f t="shared" si="18"/>
        <v>0</v>
      </c>
      <c r="H49" s="417">
        <f t="shared" si="18"/>
        <v>0</v>
      </c>
      <c r="I49" s="417">
        <f t="shared" si="18"/>
        <v>0</v>
      </c>
      <c r="J49" s="417">
        <f t="shared" si="18"/>
        <v>0</v>
      </c>
      <c r="K49" s="417">
        <f t="shared" si="18"/>
        <v>0</v>
      </c>
      <c r="L49" s="417">
        <f>+ROUND(K49*(1+L8),2)</f>
        <v>0</v>
      </c>
      <c r="M49" s="417">
        <f>+ROUND(L49*(1+M8),2)</f>
        <v>0</v>
      </c>
      <c r="N49" s="417">
        <f>+ROUND(M49*(1+N8),2)</f>
        <v>0</v>
      </c>
    </row>
    <row r="50" spans="1:14" ht="12.75">
      <c r="A50" s="105">
        <f t="shared" si="9"/>
        <v>0</v>
      </c>
      <c r="B50" s="112"/>
      <c r="C50" s="113"/>
      <c r="D50" s="41"/>
      <c r="E50" s="417">
        <f>+ROUND(D50*(1+E8),2)</f>
        <v>0</v>
      </c>
      <c r="F50" s="417">
        <f aca="true" t="shared" si="19" ref="F50:K50">+ROUND(E50*(1+F8),2)</f>
        <v>0</v>
      </c>
      <c r="G50" s="417">
        <f t="shared" si="19"/>
        <v>0</v>
      </c>
      <c r="H50" s="417">
        <f t="shared" si="19"/>
        <v>0</v>
      </c>
      <c r="I50" s="417">
        <f t="shared" si="19"/>
        <v>0</v>
      </c>
      <c r="J50" s="417">
        <f t="shared" si="19"/>
        <v>0</v>
      </c>
      <c r="K50" s="417">
        <f t="shared" si="19"/>
        <v>0</v>
      </c>
      <c r="L50" s="417">
        <f>+ROUND(K50*(1+L8),2)</f>
        <v>0</v>
      </c>
      <c r="M50" s="417">
        <f>+ROUND(L50*(1+M8),2)</f>
        <v>0</v>
      </c>
      <c r="N50" s="417">
        <f>+ROUND(M50*(1+N8),2)</f>
        <v>0</v>
      </c>
    </row>
    <row r="51" spans="1:14" ht="12.75">
      <c r="A51" s="105">
        <f t="shared" si="9"/>
        <v>0</v>
      </c>
      <c r="B51" s="112"/>
      <c r="C51" s="113"/>
      <c r="D51" s="40"/>
      <c r="E51" s="417">
        <f>+ROUND(D51*(1+E8),2)</f>
        <v>0</v>
      </c>
      <c r="F51" s="417">
        <f aca="true" t="shared" si="20" ref="F51:K51">+ROUND(E51*(1+F8),2)</f>
        <v>0</v>
      </c>
      <c r="G51" s="417">
        <f t="shared" si="20"/>
        <v>0</v>
      </c>
      <c r="H51" s="417">
        <f t="shared" si="20"/>
        <v>0</v>
      </c>
      <c r="I51" s="417">
        <f t="shared" si="20"/>
        <v>0</v>
      </c>
      <c r="J51" s="417">
        <f t="shared" si="20"/>
        <v>0</v>
      </c>
      <c r="K51" s="417">
        <f t="shared" si="20"/>
        <v>0</v>
      </c>
      <c r="L51" s="417">
        <f>+ROUND(K51*(1+L8),2)</f>
        <v>0</v>
      </c>
      <c r="M51" s="417">
        <f>+ROUND(L51*(1+M8),2)</f>
        <v>0</v>
      </c>
      <c r="N51" s="417">
        <f>+ROUND(M51*(1+N8),2)</f>
        <v>0</v>
      </c>
    </row>
    <row r="52" spans="1:14" ht="12.75">
      <c r="A52" s="114"/>
      <c r="B52" s="115"/>
      <c r="C52" s="116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</row>
    <row r="53" spans="1:14" ht="12.75">
      <c r="A53" s="114"/>
      <c r="B53" s="115"/>
      <c r="C53" s="116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</row>
    <row r="54" spans="1:14" ht="12.75">
      <c r="A54" s="524" t="s">
        <v>228</v>
      </c>
      <c r="B54" s="525"/>
      <c r="C54" s="526"/>
      <c r="D54" s="54">
        <f aca="true" t="shared" si="21" ref="D54:N54">+D40</f>
        <v>2016</v>
      </c>
      <c r="E54" s="54">
        <f t="shared" si="21"/>
        <v>2017</v>
      </c>
      <c r="F54" s="54">
        <f aca="true" t="shared" si="22" ref="F54:K54">+F40</f>
        <v>2018</v>
      </c>
      <c r="G54" s="54">
        <f t="shared" si="22"/>
        <v>2019</v>
      </c>
      <c r="H54" s="54">
        <f t="shared" si="22"/>
        <v>2020</v>
      </c>
      <c r="I54" s="54">
        <f t="shared" si="22"/>
        <v>2021</v>
      </c>
      <c r="J54" s="54">
        <f t="shared" si="22"/>
        <v>2022</v>
      </c>
      <c r="K54" s="54">
        <f t="shared" si="22"/>
        <v>2023</v>
      </c>
      <c r="L54" s="54">
        <f t="shared" si="21"/>
        <v>2024</v>
      </c>
      <c r="M54" s="54">
        <f t="shared" si="21"/>
        <v>2025</v>
      </c>
      <c r="N54" s="54">
        <f t="shared" si="21"/>
        <v>2026</v>
      </c>
    </row>
    <row r="55" spans="1:14" ht="12.75">
      <c r="A55" s="105" t="str">
        <f>+A41</f>
        <v>Administração / Direcção</v>
      </c>
      <c r="B55" s="96"/>
      <c r="C55" s="97"/>
      <c r="D55" s="118">
        <f aca="true" t="shared" si="23" ref="D55:D65">+D12*D27/12*D41*$D$7</f>
        <v>0</v>
      </c>
      <c r="E55" s="118">
        <f aca="true" t="shared" si="24" ref="E55:K65">+E12*E27/12*E41*$E$7</f>
        <v>0</v>
      </c>
      <c r="F55" s="118">
        <f t="shared" si="24"/>
        <v>0</v>
      </c>
      <c r="G55" s="118">
        <f t="shared" si="24"/>
        <v>0</v>
      </c>
      <c r="H55" s="118">
        <f t="shared" si="24"/>
        <v>0</v>
      </c>
      <c r="I55" s="118">
        <f t="shared" si="24"/>
        <v>0</v>
      </c>
      <c r="J55" s="118">
        <f t="shared" si="24"/>
        <v>0</v>
      </c>
      <c r="K55" s="118">
        <f t="shared" si="24"/>
        <v>0</v>
      </c>
      <c r="L55" s="118">
        <f aca="true" t="shared" si="25" ref="L55:L65">+L12*L27/12*L41*$L$7</f>
        <v>0</v>
      </c>
      <c r="M55" s="118">
        <f aca="true" t="shared" si="26" ref="M55:M65">+M12*M27/12*M41*$M$7</f>
        <v>0</v>
      </c>
      <c r="N55" s="118">
        <f aca="true" t="shared" si="27" ref="N55:N65">+N12*N27/12*N41*$N$7</f>
        <v>0</v>
      </c>
    </row>
    <row r="56" spans="1:14" ht="12.75">
      <c r="A56" s="105" t="str">
        <f aca="true" t="shared" si="28" ref="A56:A65">+A42</f>
        <v>Administrativa Financeira</v>
      </c>
      <c r="B56" s="96"/>
      <c r="C56" s="97"/>
      <c r="D56" s="118">
        <f t="shared" si="23"/>
        <v>0</v>
      </c>
      <c r="E56" s="118">
        <f t="shared" si="24"/>
        <v>0</v>
      </c>
      <c r="F56" s="118">
        <f t="shared" si="24"/>
        <v>0</v>
      </c>
      <c r="G56" s="118">
        <f t="shared" si="24"/>
        <v>0</v>
      </c>
      <c r="H56" s="118">
        <f t="shared" si="24"/>
        <v>0</v>
      </c>
      <c r="I56" s="118">
        <f t="shared" si="24"/>
        <v>0</v>
      </c>
      <c r="J56" s="118">
        <f t="shared" si="24"/>
        <v>0</v>
      </c>
      <c r="K56" s="118">
        <f t="shared" si="24"/>
        <v>0</v>
      </c>
      <c r="L56" s="118">
        <f t="shared" si="25"/>
        <v>0</v>
      </c>
      <c r="M56" s="118">
        <f t="shared" si="26"/>
        <v>0</v>
      </c>
      <c r="N56" s="118">
        <f t="shared" si="27"/>
        <v>0</v>
      </c>
    </row>
    <row r="57" spans="1:14" ht="12.75">
      <c r="A57" s="105" t="str">
        <f t="shared" si="28"/>
        <v>Comercial / Marketing</v>
      </c>
      <c r="B57" s="96"/>
      <c r="C57" s="97"/>
      <c r="D57" s="118">
        <f t="shared" si="23"/>
        <v>0</v>
      </c>
      <c r="E57" s="118">
        <f t="shared" si="24"/>
        <v>0</v>
      </c>
      <c r="F57" s="118">
        <f t="shared" si="24"/>
        <v>0</v>
      </c>
      <c r="G57" s="118">
        <f t="shared" si="24"/>
        <v>0</v>
      </c>
      <c r="H57" s="118">
        <f t="shared" si="24"/>
        <v>0</v>
      </c>
      <c r="I57" s="118">
        <f t="shared" si="24"/>
        <v>0</v>
      </c>
      <c r="J57" s="118">
        <f t="shared" si="24"/>
        <v>0</v>
      </c>
      <c r="K57" s="118">
        <f t="shared" si="24"/>
        <v>0</v>
      </c>
      <c r="L57" s="118">
        <f t="shared" si="25"/>
        <v>0</v>
      </c>
      <c r="M57" s="118">
        <f t="shared" si="26"/>
        <v>0</v>
      </c>
      <c r="N57" s="118">
        <f t="shared" si="27"/>
        <v>0</v>
      </c>
    </row>
    <row r="58" spans="1:14" ht="12.75">
      <c r="A58" s="105" t="str">
        <f t="shared" si="28"/>
        <v>Produção / Operacional</v>
      </c>
      <c r="B58" s="96"/>
      <c r="C58" s="97"/>
      <c r="D58" s="118">
        <f t="shared" si="23"/>
        <v>0</v>
      </c>
      <c r="E58" s="118">
        <f t="shared" si="24"/>
        <v>0</v>
      </c>
      <c r="F58" s="118">
        <f t="shared" si="24"/>
        <v>0</v>
      </c>
      <c r="G58" s="118">
        <f t="shared" si="24"/>
        <v>0</v>
      </c>
      <c r="H58" s="118">
        <f t="shared" si="24"/>
        <v>0</v>
      </c>
      <c r="I58" s="118">
        <f t="shared" si="24"/>
        <v>0</v>
      </c>
      <c r="J58" s="118">
        <f t="shared" si="24"/>
        <v>0</v>
      </c>
      <c r="K58" s="118">
        <f t="shared" si="24"/>
        <v>0</v>
      </c>
      <c r="L58" s="118">
        <f t="shared" si="25"/>
        <v>0</v>
      </c>
      <c r="M58" s="118">
        <f t="shared" si="26"/>
        <v>0</v>
      </c>
      <c r="N58" s="118">
        <f t="shared" si="27"/>
        <v>0</v>
      </c>
    </row>
    <row r="59" spans="1:14" ht="12.75">
      <c r="A59" s="105" t="str">
        <f t="shared" si="28"/>
        <v>Qualidade</v>
      </c>
      <c r="B59" s="96"/>
      <c r="C59" s="97"/>
      <c r="D59" s="118">
        <f t="shared" si="23"/>
        <v>0</v>
      </c>
      <c r="E59" s="118">
        <f t="shared" si="24"/>
        <v>0</v>
      </c>
      <c r="F59" s="118">
        <f t="shared" si="24"/>
        <v>0</v>
      </c>
      <c r="G59" s="118">
        <f t="shared" si="24"/>
        <v>0</v>
      </c>
      <c r="H59" s="118">
        <f t="shared" si="24"/>
        <v>0</v>
      </c>
      <c r="I59" s="118">
        <f t="shared" si="24"/>
        <v>0</v>
      </c>
      <c r="J59" s="118">
        <f t="shared" si="24"/>
        <v>0</v>
      </c>
      <c r="K59" s="118">
        <f t="shared" si="24"/>
        <v>0</v>
      </c>
      <c r="L59" s="118">
        <f t="shared" si="25"/>
        <v>0</v>
      </c>
      <c r="M59" s="118">
        <f t="shared" si="26"/>
        <v>0</v>
      </c>
      <c r="N59" s="118">
        <f t="shared" si="27"/>
        <v>0</v>
      </c>
    </row>
    <row r="60" spans="1:14" ht="12.75">
      <c r="A60" s="105" t="str">
        <f t="shared" si="28"/>
        <v>Manutenção</v>
      </c>
      <c r="B60" s="96"/>
      <c r="C60" s="97"/>
      <c r="D60" s="118">
        <f t="shared" si="23"/>
        <v>0</v>
      </c>
      <c r="E60" s="118">
        <f t="shared" si="24"/>
        <v>0</v>
      </c>
      <c r="F60" s="118">
        <f t="shared" si="24"/>
        <v>0</v>
      </c>
      <c r="G60" s="118">
        <f t="shared" si="24"/>
        <v>0</v>
      </c>
      <c r="H60" s="118">
        <f t="shared" si="24"/>
        <v>0</v>
      </c>
      <c r="I60" s="118">
        <f t="shared" si="24"/>
        <v>0</v>
      </c>
      <c r="J60" s="118">
        <f t="shared" si="24"/>
        <v>0</v>
      </c>
      <c r="K60" s="118">
        <f t="shared" si="24"/>
        <v>0</v>
      </c>
      <c r="L60" s="118">
        <f t="shared" si="25"/>
        <v>0</v>
      </c>
      <c r="M60" s="118">
        <f t="shared" si="26"/>
        <v>0</v>
      </c>
      <c r="N60" s="118">
        <f t="shared" si="27"/>
        <v>0</v>
      </c>
    </row>
    <row r="61" spans="1:14" ht="12.75">
      <c r="A61" s="105" t="str">
        <f t="shared" si="28"/>
        <v>Aprovisionamento</v>
      </c>
      <c r="B61" s="96"/>
      <c r="C61" s="97"/>
      <c r="D61" s="118">
        <f t="shared" si="23"/>
        <v>0</v>
      </c>
      <c r="E61" s="118">
        <f t="shared" si="24"/>
        <v>0</v>
      </c>
      <c r="F61" s="118">
        <f t="shared" si="24"/>
        <v>0</v>
      </c>
      <c r="G61" s="118">
        <f t="shared" si="24"/>
        <v>0</v>
      </c>
      <c r="H61" s="118">
        <f t="shared" si="24"/>
        <v>0</v>
      </c>
      <c r="I61" s="118">
        <f t="shared" si="24"/>
        <v>0</v>
      </c>
      <c r="J61" s="118">
        <f t="shared" si="24"/>
        <v>0</v>
      </c>
      <c r="K61" s="118">
        <f t="shared" si="24"/>
        <v>0</v>
      </c>
      <c r="L61" s="118">
        <f t="shared" si="25"/>
        <v>0</v>
      </c>
      <c r="M61" s="118">
        <f t="shared" si="26"/>
        <v>0</v>
      </c>
      <c r="N61" s="118">
        <f t="shared" si="27"/>
        <v>0</v>
      </c>
    </row>
    <row r="62" spans="1:14" ht="12.75">
      <c r="A62" s="105" t="str">
        <f t="shared" si="28"/>
        <v>Investigação &amp; Desenvolvimento</v>
      </c>
      <c r="B62" s="96"/>
      <c r="C62" s="97"/>
      <c r="D62" s="118">
        <f t="shared" si="23"/>
        <v>0</v>
      </c>
      <c r="E62" s="118">
        <f t="shared" si="24"/>
        <v>0</v>
      </c>
      <c r="F62" s="118">
        <f t="shared" si="24"/>
        <v>0</v>
      </c>
      <c r="G62" s="118">
        <f t="shared" si="24"/>
        <v>0</v>
      </c>
      <c r="H62" s="118">
        <f t="shared" si="24"/>
        <v>0</v>
      </c>
      <c r="I62" s="118">
        <f t="shared" si="24"/>
        <v>0</v>
      </c>
      <c r="J62" s="118">
        <f t="shared" si="24"/>
        <v>0</v>
      </c>
      <c r="K62" s="118">
        <f t="shared" si="24"/>
        <v>0</v>
      </c>
      <c r="L62" s="118">
        <f t="shared" si="25"/>
        <v>0</v>
      </c>
      <c r="M62" s="118">
        <f t="shared" si="26"/>
        <v>0</v>
      </c>
      <c r="N62" s="118">
        <f t="shared" si="27"/>
        <v>0</v>
      </c>
    </row>
    <row r="63" spans="1:14" ht="12.75">
      <c r="A63" s="105" t="str">
        <f t="shared" si="28"/>
        <v>Outros</v>
      </c>
      <c r="B63" s="96"/>
      <c r="C63" s="97"/>
      <c r="D63" s="118">
        <f t="shared" si="23"/>
        <v>0</v>
      </c>
      <c r="E63" s="118">
        <f t="shared" si="24"/>
        <v>0</v>
      </c>
      <c r="F63" s="118">
        <f t="shared" si="24"/>
        <v>0</v>
      </c>
      <c r="G63" s="118">
        <f t="shared" si="24"/>
        <v>0</v>
      </c>
      <c r="H63" s="118">
        <f t="shared" si="24"/>
        <v>0</v>
      </c>
      <c r="I63" s="118">
        <f t="shared" si="24"/>
        <v>0</v>
      </c>
      <c r="J63" s="118">
        <f t="shared" si="24"/>
        <v>0</v>
      </c>
      <c r="K63" s="118">
        <f t="shared" si="24"/>
        <v>0</v>
      </c>
      <c r="L63" s="118">
        <f t="shared" si="25"/>
        <v>0</v>
      </c>
      <c r="M63" s="118">
        <f t="shared" si="26"/>
        <v>0</v>
      </c>
      <c r="N63" s="118">
        <f t="shared" si="27"/>
        <v>0</v>
      </c>
    </row>
    <row r="64" spans="1:14" ht="12.75">
      <c r="A64" s="105">
        <f t="shared" si="28"/>
        <v>0</v>
      </c>
      <c r="B64" s="112"/>
      <c r="C64" s="113"/>
      <c r="D64" s="118">
        <f t="shared" si="23"/>
        <v>0</v>
      </c>
      <c r="E64" s="118">
        <f t="shared" si="24"/>
        <v>0</v>
      </c>
      <c r="F64" s="118">
        <f t="shared" si="24"/>
        <v>0</v>
      </c>
      <c r="G64" s="118">
        <f t="shared" si="24"/>
        <v>0</v>
      </c>
      <c r="H64" s="118">
        <f t="shared" si="24"/>
        <v>0</v>
      </c>
      <c r="I64" s="118">
        <f t="shared" si="24"/>
        <v>0</v>
      </c>
      <c r="J64" s="118">
        <f t="shared" si="24"/>
        <v>0</v>
      </c>
      <c r="K64" s="118">
        <f t="shared" si="24"/>
        <v>0</v>
      </c>
      <c r="L64" s="118">
        <f t="shared" si="25"/>
        <v>0</v>
      </c>
      <c r="M64" s="118">
        <f t="shared" si="26"/>
        <v>0</v>
      </c>
      <c r="N64" s="118">
        <f t="shared" si="27"/>
        <v>0</v>
      </c>
    </row>
    <row r="65" spans="1:14" ht="12.75">
      <c r="A65" s="105">
        <f t="shared" si="28"/>
        <v>0</v>
      </c>
      <c r="B65" s="112"/>
      <c r="C65" s="113"/>
      <c r="D65" s="118">
        <f t="shared" si="23"/>
        <v>0</v>
      </c>
      <c r="E65" s="118">
        <f t="shared" si="24"/>
        <v>0</v>
      </c>
      <c r="F65" s="118">
        <f t="shared" si="24"/>
        <v>0</v>
      </c>
      <c r="G65" s="118">
        <f t="shared" si="24"/>
        <v>0</v>
      </c>
      <c r="H65" s="118">
        <f t="shared" si="24"/>
        <v>0</v>
      </c>
      <c r="I65" s="118">
        <f t="shared" si="24"/>
        <v>0</v>
      </c>
      <c r="J65" s="118">
        <f t="shared" si="24"/>
        <v>0</v>
      </c>
      <c r="K65" s="118">
        <f t="shared" si="24"/>
        <v>0</v>
      </c>
      <c r="L65" s="118">
        <f t="shared" si="25"/>
        <v>0</v>
      </c>
      <c r="M65" s="118">
        <f t="shared" si="26"/>
        <v>0</v>
      </c>
      <c r="N65" s="118">
        <f t="shared" si="27"/>
        <v>0</v>
      </c>
    </row>
    <row r="66" spans="1:14" ht="13.5" thickBot="1">
      <c r="A66" s="517" t="s">
        <v>46</v>
      </c>
      <c r="B66" s="518"/>
      <c r="C66" s="519"/>
      <c r="D66" s="119">
        <f aca="true" t="shared" si="29" ref="D66:N66">+SUM(D55:D65)</f>
        <v>0</v>
      </c>
      <c r="E66" s="119">
        <f t="shared" si="29"/>
        <v>0</v>
      </c>
      <c r="F66" s="119">
        <f aca="true" t="shared" si="30" ref="F66:K66">+SUM(F55:F65)</f>
        <v>0</v>
      </c>
      <c r="G66" s="119">
        <f t="shared" si="30"/>
        <v>0</v>
      </c>
      <c r="H66" s="119">
        <f t="shared" si="30"/>
        <v>0</v>
      </c>
      <c r="I66" s="119">
        <f t="shared" si="30"/>
        <v>0</v>
      </c>
      <c r="J66" s="119">
        <f t="shared" si="30"/>
        <v>0</v>
      </c>
      <c r="K66" s="119">
        <f t="shared" si="30"/>
        <v>0</v>
      </c>
      <c r="L66" s="119">
        <f t="shared" si="29"/>
        <v>0</v>
      </c>
      <c r="M66" s="119">
        <f t="shared" si="29"/>
        <v>0</v>
      </c>
      <c r="N66" s="119">
        <f t="shared" si="29"/>
        <v>0</v>
      </c>
    </row>
    <row r="67" spans="1:14" ht="13.5" thickTop="1">
      <c r="A67" s="114"/>
      <c r="B67" s="115"/>
      <c r="C67" s="116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</row>
    <row r="68" spans="1:14" ht="12.75">
      <c r="A68" s="57"/>
      <c r="B68" s="57"/>
      <c r="C68" s="120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</row>
    <row r="69" spans="1:14" ht="12.75">
      <c r="A69" s="521" t="s">
        <v>342</v>
      </c>
      <c r="B69" s="522"/>
      <c r="C69" s="523"/>
      <c r="D69" s="54">
        <f aca="true" t="shared" si="31" ref="D69:N69">+D6</f>
        <v>2016</v>
      </c>
      <c r="E69" s="54">
        <f t="shared" si="31"/>
        <v>2017</v>
      </c>
      <c r="F69" s="54">
        <f aca="true" t="shared" si="32" ref="F69:K69">+F6</f>
        <v>2018</v>
      </c>
      <c r="G69" s="54">
        <f t="shared" si="32"/>
        <v>2019</v>
      </c>
      <c r="H69" s="54">
        <f t="shared" si="32"/>
        <v>2020</v>
      </c>
      <c r="I69" s="54">
        <f t="shared" si="32"/>
        <v>2021</v>
      </c>
      <c r="J69" s="54">
        <f t="shared" si="32"/>
        <v>2022</v>
      </c>
      <c r="K69" s="54">
        <f t="shared" si="32"/>
        <v>2023</v>
      </c>
      <c r="L69" s="54">
        <f t="shared" si="31"/>
        <v>2024</v>
      </c>
      <c r="M69" s="54">
        <f t="shared" si="31"/>
        <v>2025</v>
      </c>
      <c r="N69" s="54">
        <f t="shared" si="31"/>
        <v>2026</v>
      </c>
    </row>
    <row r="70" spans="1:14" ht="12.75">
      <c r="A70" s="122" t="s">
        <v>79</v>
      </c>
      <c r="B70" s="123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</row>
    <row r="71" spans="1:14" ht="12.75">
      <c r="A71" s="58" t="s">
        <v>337</v>
      </c>
      <c r="B71" s="124"/>
      <c r="C71" s="125">
        <f>+Pressupostos!B24</f>
        <v>0.2375</v>
      </c>
      <c r="D71" s="126">
        <f aca="true" t="shared" si="33" ref="D71:N71">$C$71*(D55+D77)</f>
        <v>0</v>
      </c>
      <c r="E71" s="126">
        <f t="shared" si="33"/>
        <v>0</v>
      </c>
      <c r="F71" s="126">
        <f aca="true" t="shared" si="34" ref="F71:K71">$C$71*(F55+F77)</f>
        <v>0</v>
      </c>
      <c r="G71" s="126">
        <f t="shared" si="34"/>
        <v>0</v>
      </c>
      <c r="H71" s="126">
        <f t="shared" si="34"/>
        <v>0</v>
      </c>
      <c r="I71" s="126">
        <f t="shared" si="34"/>
        <v>0</v>
      </c>
      <c r="J71" s="126">
        <f t="shared" si="34"/>
        <v>0</v>
      </c>
      <c r="K71" s="126">
        <f t="shared" si="34"/>
        <v>0</v>
      </c>
      <c r="L71" s="126">
        <f t="shared" si="33"/>
        <v>0</v>
      </c>
      <c r="M71" s="126">
        <f t="shared" si="33"/>
        <v>0</v>
      </c>
      <c r="N71" s="126">
        <f t="shared" si="33"/>
        <v>0</v>
      </c>
    </row>
    <row r="72" spans="1:14" ht="12.75">
      <c r="A72" s="58" t="s">
        <v>31</v>
      </c>
      <c r="B72" s="124"/>
      <c r="C72" s="125">
        <f>+Pressupostos!B25</f>
        <v>0.2375</v>
      </c>
      <c r="D72" s="126">
        <f aca="true" t="shared" si="35" ref="D72:N72">+$C$72*(SUM(D56:D65)+D78)</f>
        <v>0</v>
      </c>
      <c r="E72" s="126">
        <f t="shared" si="35"/>
        <v>0</v>
      </c>
      <c r="F72" s="126">
        <f aca="true" t="shared" si="36" ref="F72:K72">+$C$72*(SUM(F56:F65)+F78)</f>
        <v>0</v>
      </c>
      <c r="G72" s="126">
        <f t="shared" si="36"/>
        <v>0</v>
      </c>
      <c r="H72" s="126">
        <f t="shared" si="36"/>
        <v>0</v>
      </c>
      <c r="I72" s="126">
        <f t="shared" si="36"/>
        <v>0</v>
      </c>
      <c r="J72" s="126">
        <f t="shared" si="36"/>
        <v>0</v>
      </c>
      <c r="K72" s="126">
        <f t="shared" si="36"/>
        <v>0</v>
      </c>
      <c r="L72" s="126">
        <f t="shared" si="35"/>
        <v>0</v>
      </c>
      <c r="M72" s="126">
        <f t="shared" si="35"/>
        <v>0</v>
      </c>
      <c r="N72" s="126">
        <f t="shared" si="35"/>
        <v>0</v>
      </c>
    </row>
    <row r="73" spans="1:14" ht="12.75">
      <c r="A73" s="127" t="s">
        <v>21</v>
      </c>
      <c r="B73" s="128"/>
      <c r="C73" s="444"/>
      <c r="D73" s="129">
        <f aca="true" t="shared" si="37" ref="D73:N73">+$C$73*D66</f>
        <v>0</v>
      </c>
      <c r="E73" s="129">
        <f t="shared" si="37"/>
        <v>0</v>
      </c>
      <c r="F73" s="129">
        <f aca="true" t="shared" si="38" ref="F73:K73">+$C$73*F66</f>
        <v>0</v>
      </c>
      <c r="G73" s="129">
        <f t="shared" si="38"/>
        <v>0</v>
      </c>
      <c r="H73" s="129">
        <f t="shared" si="38"/>
        <v>0</v>
      </c>
      <c r="I73" s="129">
        <f t="shared" si="38"/>
        <v>0</v>
      </c>
      <c r="J73" s="129">
        <f t="shared" si="38"/>
        <v>0</v>
      </c>
      <c r="K73" s="129">
        <f t="shared" si="38"/>
        <v>0</v>
      </c>
      <c r="L73" s="129">
        <f t="shared" si="37"/>
        <v>0</v>
      </c>
      <c r="M73" s="129">
        <f t="shared" si="37"/>
        <v>0</v>
      </c>
      <c r="N73" s="129">
        <f t="shared" si="37"/>
        <v>0</v>
      </c>
    </row>
    <row r="74" spans="1:14" ht="12.75">
      <c r="A74" s="127" t="s">
        <v>449</v>
      </c>
      <c r="B74" s="128"/>
      <c r="C74" s="445"/>
      <c r="D74" s="129">
        <f aca="true" t="shared" si="39" ref="D74:N74">+$C$74*D75*D23</f>
        <v>0</v>
      </c>
      <c r="E74" s="129">
        <f t="shared" si="39"/>
        <v>0</v>
      </c>
      <c r="F74" s="129">
        <f aca="true" t="shared" si="40" ref="F74:K74">+$C$74*F75*F23</f>
        <v>0</v>
      </c>
      <c r="G74" s="129">
        <f t="shared" si="40"/>
        <v>0</v>
      </c>
      <c r="H74" s="129">
        <f t="shared" si="40"/>
        <v>0</v>
      </c>
      <c r="I74" s="129">
        <f t="shared" si="40"/>
        <v>0</v>
      </c>
      <c r="J74" s="129">
        <f t="shared" si="40"/>
        <v>0</v>
      </c>
      <c r="K74" s="129">
        <f t="shared" si="40"/>
        <v>0</v>
      </c>
      <c r="L74" s="129">
        <f t="shared" si="39"/>
        <v>0</v>
      </c>
      <c r="M74" s="129">
        <f t="shared" si="39"/>
        <v>0</v>
      </c>
      <c r="N74" s="129">
        <f t="shared" si="39"/>
        <v>0</v>
      </c>
    </row>
    <row r="75" spans="1:14" ht="12.75">
      <c r="A75" s="387" t="s">
        <v>406</v>
      </c>
      <c r="B75" s="148"/>
      <c r="C75" s="78"/>
      <c r="D75" s="388"/>
      <c r="E75" s="388"/>
      <c r="F75" s="388"/>
      <c r="G75" s="388"/>
      <c r="H75" s="388"/>
      <c r="I75" s="388"/>
      <c r="J75" s="388"/>
      <c r="K75" s="388"/>
      <c r="L75" s="388"/>
      <c r="M75" s="388"/>
      <c r="N75" s="388"/>
    </row>
    <row r="76" spans="1:14" ht="12.75">
      <c r="A76" s="127" t="s">
        <v>350</v>
      </c>
      <c r="B76" s="148"/>
      <c r="C76" s="78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</row>
    <row r="77" spans="1:14" ht="12.75">
      <c r="A77" s="58" t="s">
        <v>337</v>
      </c>
      <c r="B77" s="124"/>
      <c r="C77" s="38"/>
      <c r="D77" s="276"/>
      <c r="E77" s="276"/>
      <c r="F77" s="276"/>
      <c r="G77" s="276"/>
      <c r="H77" s="276"/>
      <c r="I77" s="276"/>
      <c r="J77" s="276"/>
      <c r="K77" s="276"/>
      <c r="L77" s="276"/>
      <c r="M77" s="276"/>
      <c r="N77" s="276"/>
    </row>
    <row r="78" spans="1:14" ht="12.75">
      <c r="A78" s="58" t="s">
        <v>31</v>
      </c>
      <c r="B78" s="124"/>
      <c r="C78" s="38"/>
      <c r="D78" s="276"/>
      <c r="E78" s="276"/>
      <c r="F78" s="276"/>
      <c r="G78" s="276"/>
      <c r="H78" s="276"/>
      <c r="I78" s="276"/>
      <c r="J78" s="276"/>
      <c r="K78" s="276"/>
      <c r="L78" s="276"/>
      <c r="M78" s="276"/>
      <c r="N78" s="276"/>
    </row>
    <row r="79" spans="1:14" ht="12.75">
      <c r="A79" s="130" t="s">
        <v>45</v>
      </c>
      <c r="B79" s="130"/>
      <c r="C79" s="1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</row>
    <row r="80" spans="1:14" ht="12.75">
      <c r="A80" s="132" t="s">
        <v>81</v>
      </c>
      <c r="B80" s="113"/>
      <c r="C80" s="1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</row>
    <row r="81" spans="1:14" ht="14.25" customHeight="1" thickBot="1">
      <c r="A81" s="527" t="s">
        <v>343</v>
      </c>
      <c r="B81" s="528"/>
      <c r="C81" s="529"/>
      <c r="D81" s="36">
        <f aca="true" t="shared" si="41" ref="D81:N81">+D71+D72+D73+D74+D77+D78+D79+D80</f>
        <v>0</v>
      </c>
      <c r="E81" s="36">
        <f t="shared" si="41"/>
        <v>0</v>
      </c>
      <c r="F81" s="36">
        <f aca="true" t="shared" si="42" ref="F81:K81">+F71+F72+F73+F74+F77+F78+F79+F80</f>
        <v>0</v>
      </c>
      <c r="G81" s="36">
        <f t="shared" si="42"/>
        <v>0</v>
      </c>
      <c r="H81" s="36">
        <f t="shared" si="42"/>
        <v>0</v>
      </c>
      <c r="I81" s="36">
        <f t="shared" si="42"/>
        <v>0</v>
      </c>
      <c r="J81" s="36">
        <f t="shared" si="42"/>
        <v>0</v>
      </c>
      <c r="K81" s="36">
        <f t="shared" si="42"/>
        <v>0</v>
      </c>
      <c r="L81" s="36">
        <f t="shared" si="41"/>
        <v>0</v>
      </c>
      <c r="M81" s="36">
        <f t="shared" si="41"/>
        <v>0</v>
      </c>
      <c r="N81" s="36">
        <f t="shared" si="41"/>
        <v>0</v>
      </c>
    </row>
    <row r="82" spans="1:14" ht="13.5" thickTop="1">
      <c r="A82" s="115"/>
      <c r="B82" s="115"/>
      <c r="C82" s="134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</row>
    <row r="83" spans="1:14" ht="13.5" thickBot="1">
      <c r="A83" s="527" t="s">
        <v>344</v>
      </c>
      <c r="B83" s="528"/>
      <c r="C83" s="529"/>
      <c r="D83" s="36">
        <f aca="true" t="shared" si="43" ref="D83:N83">D66+D81</f>
        <v>0</v>
      </c>
      <c r="E83" s="36">
        <f t="shared" si="43"/>
        <v>0</v>
      </c>
      <c r="F83" s="36">
        <f aca="true" t="shared" si="44" ref="F83:K83">F66+F81</f>
        <v>0</v>
      </c>
      <c r="G83" s="36">
        <f t="shared" si="44"/>
        <v>0</v>
      </c>
      <c r="H83" s="36">
        <f t="shared" si="44"/>
        <v>0</v>
      </c>
      <c r="I83" s="36">
        <f t="shared" si="44"/>
        <v>0</v>
      </c>
      <c r="J83" s="36">
        <f t="shared" si="44"/>
        <v>0</v>
      </c>
      <c r="K83" s="36">
        <f t="shared" si="44"/>
        <v>0</v>
      </c>
      <c r="L83" s="36">
        <f t="shared" si="43"/>
        <v>0</v>
      </c>
      <c r="M83" s="36">
        <f t="shared" si="43"/>
        <v>0</v>
      </c>
      <c r="N83" s="36">
        <f t="shared" si="43"/>
        <v>0</v>
      </c>
    </row>
    <row r="84" spans="1:14" ht="13.5" thickTop="1">
      <c r="A84" s="115"/>
      <c r="B84" s="115"/>
      <c r="C84" s="134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</row>
    <row r="85" spans="1:14" ht="12.75">
      <c r="A85" s="115"/>
      <c r="B85" s="115"/>
      <c r="C85" s="134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</row>
    <row r="86" spans="1:14" ht="12.75">
      <c r="A86" s="521" t="s">
        <v>80</v>
      </c>
      <c r="B86" s="522"/>
      <c r="C86" s="523"/>
      <c r="D86" s="54">
        <f aca="true" t="shared" si="45" ref="D86:N86">+D6</f>
        <v>2016</v>
      </c>
      <c r="E86" s="54">
        <f t="shared" si="45"/>
        <v>2017</v>
      </c>
      <c r="F86" s="54">
        <f aca="true" t="shared" si="46" ref="F86:K86">+F6</f>
        <v>2018</v>
      </c>
      <c r="G86" s="54">
        <f t="shared" si="46"/>
        <v>2019</v>
      </c>
      <c r="H86" s="54">
        <f t="shared" si="46"/>
        <v>2020</v>
      </c>
      <c r="I86" s="54">
        <f t="shared" si="46"/>
        <v>2021</v>
      </c>
      <c r="J86" s="54">
        <f t="shared" si="46"/>
        <v>2022</v>
      </c>
      <c r="K86" s="54">
        <f t="shared" si="46"/>
        <v>2023</v>
      </c>
      <c r="L86" s="54">
        <f t="shared" si="45"/>
        <v>2024</v>
      </c>
      <c r="M86" s="54">
        <f t="shared" si="45"/>
        <v>2025</v>
      </c>
      <c r="N86" s="54">
        <f t="shared" si="45"/>
        <v>2026</v>
      </c>
    </row>
    <row r="87" spans="1:14" ht="12.75">
      <c r="A87" s="135" t="s">
        <v>336</v>
      </c>
      <c r="B87" s="97"/>
      <c r="C87" s="133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</row>
    <row r="88" spans="1:14" ht="12.75">
      <c r="A88" s="58" t="s">
        <v>337</v>
      </c>
      <c r="B88" s="136"/>
      <c r="C88" s="133"/>
      <c r="D88" s="126">
        <f aca="true" t="shared" si="47" ref="D88:N88">D55+D77</f>
        <v>0</v>
      </c>
      <c r="E88" s="126">
        <f t="shared" si="47"/>
        <v>0</v>
      </c>
      <c r="F88" s="126">
        <f aca="true" t="shared" si="48" ref="F88:K88">F55+F77</f>
        <v>0</v>
      </c>
      <c r="G88" s="126">
        <f t="shared" si="48"/>
        <v>0</v>
      </c>
      <c r="H88" s="126">
        <f t="shared" si="48"/>
        <v>0</v>
      </c>
      <c r="I88" s="126">
        <f t="shared" si="48"/>
        <v>0</v>
      </c>
      <c r="J88" s="126">
        <f t="shared" si="48"/>
        <v>0</v>
      </c>
      <c r="K88" s="126">
        <f t="shared" si="48"/>
        <v>0</v>
      </c>
      <c r="L88" s="126">
        <f t="shared" si="47"/>
        <v>0</v>
      </c>
      <c r="M88" s="126">
        <f t="shared" si="47"/>
        <v>0</v>
      </c>
      <c r="N88" s="126">
        <f t="shared" si="47"/>
        <v>0</v>
      </c>
    </row>
    <row r="89" spans="1:14" ht="12.75">
      <c r="A89" s="58" t="s">
        <v>31</v>
      </c>
      <c r="B89" s="136"/>
      <c r="C89" s="133"/>
      <c r="D89" s="126">
        <f aca="true" t="shared" si="49" ref="D89:N89">+SUM(D56:D65)+D78</f>
        <v>0</v>
      </c>
      <c r="E89" s="126">
        <f t="shared" si="49"/>
        <v>0</v>
      </c>
      <c r="F89" s="126">
        <f aca="true" t="shared" si="50" ref="F89:K89">+SUM(F56:F65)+F78</f>
        <v>0</v>
      </c>
      <c r="G89" s="126">
        <f t="shared" si="50"/>
        <v>0</v>
      </c>
      <c r="H89" s="126">
        <f t="shared" si="50"/>
        <v>0</v>
      </c>
      <c r="I89" s="126">
        <f t="shared" si="50"/>
        <v>0</v>
      </c>
      <c r="J89" s="126">
        <f t="shared" si="50"/>
        <v>0</v>
      </c>
      <c r="K89" s="126">
        <f t="shared" si="50"/>
        <v>0</v>
      </c>
      <c r="L89" s="126">
        <f t="shared" si="49"/>
        <v>0</v>
      </c>
      <c r="M89" s="126">
        <f t="shared" si="49"/>
        <v>0</v>
      </c>
      <c r="N89" s="126">
        <f t="shared" si="49"/>
        <v>0</v>
      </c>
    </row>
    <row r="90" spans="1:14" ht="12.75">
      <c r="A90" s="135" t="s">
        <v>338</v>
      </c>
      <c r="B90" s="97"/>
      <c r="C90" s="133"/>
      <c r="D90" s="126">
        <f aca="true" t="shared" si="51" ref="D90:N90">+D71+D72</f>
        <v>0</v>
      </c>
      <c r="E90" s="126">
        <f t="shared" si="51"/>
        <v>0</v>
      </c>
      <c r="F90" s="126">
        <f aca="true" t="shared" si="52" ref="F90:K90">+F71+F72</f>
        <v>0</v>
      </c>
      <c r="G90" s="126">
        <f t="shared" si="52"/>
        <v>0</v>
      </c>
      <c r="H90" s="126">
        <f t="shared" si="52"/>
        <v>0</v>
      </c>
      <c r="I90" s="126">
        <f t="shared" si="52"/>
        <v>0</v>
      </c>
      <c r="J90" s="126">
        <f t="shared" si="52"/>
        <v>0</v>
      </c>
      <c r="K90" s="126">
        <f t="shared" si="52"/>
        <v>0</v>
      </c>
      <c r="L90" s="126">
        <f t="shared" si="51"/>
        <v>0</v>
      </c>
      <c r="M90" s="126">
        <f t="shared" si="51"/>
        <v>0</v>
      </c>
      <c r="N90" s="126">
        <f t="shared" si="51"/>
        <v>0</v>
      </c>
    </row>
    <row r="91" spans="1:14" ht="12.75">
      <c r="A91" s="127" t="s">
        <v>339</v>
      </c>
      <c r="B91" s="97"/>
      <c r="C91" s="133"/>
      <c r="D91" s="126">
        <f aca="true" t="shared" si="53" ref="D91:N91">+D73</f>
        <v>0</v>
      </c>
      <c r="E91" s="126">
        <f t="shared" si="53"/>
        <v>0</v>
      </c>
      <c r="F91" s="126">
        <f aca="true" t="shared" si="54" ref="F91:K91">+F73</f>
        <v>0</v>
      </c>
      <c r="G91" s="126">
        <f t="shared" si="54"/>
        <v>0</v>
      </c>
      <c r="H91" s="126">
        <f t="shared" si="54"/>
        <v>0</v>
      </c>
      <c r="I91" s="126">
        <f t="shared" si="54"/>
        <v>0</v>
      </c>
      <c r="J91" s="126">
        <f t="shared" si="54"/>
        <v>0</v>
      </c>
      <c r="K91" s="126">
        <f t="shared" si="54"/>
        <v>0</v>
      </c>
      <c r="L91" s="126">
        <f t="shared" si="53"/>
        <v>0</v>
      </c>
      <c r="M91" s="126">
        <f t="shared" si="53"/>
        <v>0</v>
      </c>
      <c r="N91" s="126">
        <f t="shared" si="53"/>
        <v>0</v>
      </c>
    </row>
    <row r="92" spans="1:14" ht="12.75">
      <c r="A92" s="135" t="s">
        <v>340</v>
      </c>
      <c r="B92" s="97"/>
      <c r="C92" s="133"/>
      <c r="D92" s="126">
        <f aca="true" t="shared" si="55" ref="D92:N92">+D74</f>
        <v>0</v>
      </c>
      <c r="E92" s="126">
        <f t="shared" si="55"/>
        <v>0</v>
      </c>
      <c r="F92" s="126">
        <f aca="true" t="shared" si="56" ref="F92:K92">+F74</f>
        <v>0</v>
      </c>
      <c r="G92" s="126">
        <f t="shared" si="56"/>
        <v>0</v>
      </c>
      <c r="H92" s="126">
        <f t="shared" si="56"/>
        <v>0</v>
      </c>
      <c r="I92" s="126">
        <f t="shared" si="56"/>
        <v>0</v>
      </c>
      <c r="J92" s="126">
        <f t="shared" si="56"/>
        <v>0</v>
      </c>
      <c r="K92" s="126">
        <f t="shared" si="56"/>
        <v>0</v>
      </c>
      <c r="L92" s="126">
        <f t="shared" si="55"/>
        <v>0</v>
      </c>
      <c r="M92" s="126">
        <f t="shared" si="55"/>
        <v>0</v>
      </c>
      <c r="N92" s="126">
        <f t="shared" si="55"/>
        <v>0</v>
      </c>
    </row>
    <row r="93" spans="1:14" ht="12.75">
      <c r="A93" s="132" t="s">
        <v>341</v>
      </c>
      <c r="B93" s="113"/>
      <c r="C93" s="137"/>
      <c r="D93" s="343">
        <f aca="true" t="shared" si="57" ref="D93:N93">+D79+D80</f>
        <v>0</v>
      </c>
      <c r="E93" s="343">
        <f t="shared" si="57"/>
        <v>0</v>
      </c>
      <c r="F93" s="343">
        <f aca="true" t="shared" si="58" ref="F93:K93">+F79+F80</f>
        <v>0</v>
      </c>
      <c r="G93" s="343">
        <f t="shared" si="58"/>
        <v>0</v>
      </c>
      <c r="H93" s="343">
        <f t="shared" si="58"/>
        <v>0</v>
      </c>
      <c r="I93" s="343">
        <f t="shared" si="58"/>
        <v>0</v>
      </c>
      <c r="J93" s="343">
        <f t="shared" si="58"/>
        <v>0</v>
      </c>
      <c r="K93" s="343">
        <f t="shared" si="58"/>
        <v>0</v>
      </c>
      <c r="L93" s="343">
        <f t="shared" si="57"/>
        <v>0</v>
      </c>
      <c r="M93" s="343">
        <f t="shared" si="57"/>
        <v>0</v>
      </c>
      <c r="N93" s="343">
        <f t="shared" si="57"/>
        <v>0</v>
      </c>
    </row>
    <row r="94" spans="1:14" ht="13.5" thickBot="1">
      <c r="A94" s="527" t="s">
        <v>344</v>
      </c>
      <c r="B94" s="528"/>
      <c r="C94" s="529"/>
      <c r="D94" s="36">
        <f aca="true" t="shared" si="59" ref="D94:N94">SUM(D88:D93)</f>
        <v>0</v>
      </c>
      <c r="E94" s="36">
        <f t="shared" si="59"/>
        <v>0</v>
      </c>
      <c r="F94" s="36">
        <f aca="true" t="shared" si="60" ref="F94:K94">SUM(F88:F93)</f>
        <v>0</v>
      </c>
      <c r="G94" s="36">
        <f t="shared" si="60"/>
        <v>0</v>
      </c>
      <c r="H94" s="36">
        <f t="shared" si="60"/>
        <v>0</v>
      </c>
      <c r="I94" s="36">
        <f t="shared" si="60"/>
        <v>0</v>
      </c>
      <c r="J94" s="36">
        <f t="shared" si="60"/>
        <v>0</v>
      </c>
      <c r="K94" s="36">
        <f t="shared" si="60"/>
        <v>0</v>
      </c>
      <c r="L94" s="36">
        <f t="shared" si="59"/>
        <v>0</v>
      </c>
      <c r="M94" s="36">
        <f t="shared" si="59"/>
        <v>0</v>
      </c>
      <c r="N94" s="36">
        <f t="shared" si="59"/>
        <v>0</v>
      </c>
    </row>
    <row r="95" spans="1:14" ht="13.5" thickTop="1">
      <c r="A95" s="138"/>
      <c r="B95" s="138"/>
      <c r="C95" s="138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</row>
    <row r="96" spans="1:14" ht="12.75">
      <c r="A96" s="115"/>
      <c r="B96" s="115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</row>
    <row r="97" spans="1:14" ht="12.75">
      <c r="A97" s="521" t="s">
        <v>157</v>
      </c>
      <c r="B97" s="522"/>
      <c r="C97" s="523"/>
      <c r="D97" s="54">
        <f aca="true" t="shared" si="61" ref="D97:N97">+D86</f>
        <v>2016</v>
      </c>
      <c r="E97" s="54">
        <f t="shared" si="61"/>
        <v>2017</v>
      </c>
      <c r="F97" s="54">
        <f aca="true" t="shared" si="62" ref="F97:K97">+F86</f>
        <v>2018</v>
      </c>
      <c r="G97" s="54">
        <f t="shared" si="62"/>
        <v>2019</v>
      </c>
      <c r="H97" s="54">
        <f t="shared" si="62"/>
        <v>2020</v>
      </c>
      <c r="I97" s="54">
        <f t="shared" si="62"/>
        <v>2021</v>
      </c>
      <c r="J97" s="54">
        <f t="shared" si="62"/>
        <v>2022</v>
      </c>
      <c r="K97" s="54">
        <f t="shared" si="62"/>
        <v>2023</v>
      </c>
      <c r="L97" s="54">
        <f t="shared" si="61"/>
        <v>2024</v>
      </c>
      <c r="M97" s="54">
        <f t="shared" si="61"/>
        <v>2025</v>
      </c>
      <c r="N97" s="54">
        <f t="shared" si="61"/>
        <v>2026</v>
      </c>
    </row>
    <row r="98" spans="1:14" ht="12.75">
      <c r="A98" s="135" t="s">
        <v>155</v>
      </c>
      <c r="B98" s="97"/>
      <c r="C98" s="125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</row>
    <row r="99" spans="1:14" ht="12.75">
      <c r="A99" s="58" t="s">
        <v>195</v>
      </c>
      <c r="B99" s="124"/>
      <c r="C99" s="125">
        <f>+Pressupostos!B26</f>
        <v>0.11</v>
      </c>
      <c r="D99" s="126">
        <f aca="true" t="shared" si="63" ref="D99:N99">+$C$99*D88</f>
        <v>0</v>
      </c>
      <c r="E99" s="126">
        <f t="shared" si="63"/>
        <v>0</v>
      </c>
      <c r="F99" s="126">
        <f aca="true" t="shared" si="64" ref="F99:K99">+$C$99*F88</f>
        <v>0</v>
      </c>
      <c r="G99" s="126">
        <f t="shared" si="64"/>
        <v>0</v>
      </c>
      <c r="H99" s="126">
        <f t="shared" si="64"/>
        <v>0</v>
      </c>
      <c r="I99" s="126">
        <f t="shared" si="64"/>
        <v>0</v>
      </c>
      <c r="J99" s="126">
        <f t="shared" si="64"/>
        <v>0</v>
      </c>
      <c r="K99" s="126">
        <f t="shared" si="64"/>
        <v>0</v>
      </c>
      <c r="L99" s="126">
        <f t="shared" si="63"/>
        <v>0</v>
      </c>
      <c r="M99" s="126">
        <f t="shared" si="63"/>
        <v>0</v>
      </c>
      <c r="N99" s="126">
        <f t="shared" si="63"/>
        <v>0</v>
      </c>
    </row>
    <row r="100" spans="1:14" ht="12.75">
      <c r="A100" s="58" t="s">
        <v>154</v>
      </c>
      <c r="B100" s="124"/>
      <c r="C100" s="125">
        <f>+Pressupostos!B27</f>
        <v>0.11</v>
      </c>
      <c r="D100" s="126">
        <f aca="true" t="shared" si="65" ref="D100:N100">+$C$100*D89</f>
        <v>0</v>
      </c>
      <c r="E100" s="126">
        <f t="shared" si="65"/>
        <v>0</v>
      </c>
      <c r="F100" s="126">
        <f aca="true" t="shared" si="66" ref="F100:K100">+$C$100*F89</f>
        <v>0</v>
      </c>
      <c r="G100" s="126">
        <f t="shared" si="66"/>
        <v>0</v>
      </c>
      <c r="H100" s="126">
        <f t="shared" si="66"/>
        <v>0</v>
      </c>
      <c r="I100" s="126">
        <f t="shared" si="66"/>
        <v>0</v>
      </c>
      <c r="J100" s="126">
        <f t="shared" si="66"/>
        <v>0</v>
      </c>
      <c r="K100" s="126">
        <f t="shared" si="66"/>
        <v>0</v>
      </c>
      <c r="L100" s="126">
        <f t="shared" si="65"/>
        <v>0</v>
      </c>
      <c r="M100" s="126">
        <f t="shared" si="65"/>
        <v>0</v>
      </c>
      <c r="N100" s="126">
        <f t="shared" si="65"/>
        <v>0</v>
      </c>
    </row>
    <row r="101" spans="1:14" ht="12.75">
      <c r="A101" s="135" t="s">
        <v>156</v>
      </c>
      <c r="B101" s="97"/>
      <c r="C101" s="125">
        <f>+Pressupostos!B28</f>
        <v>0.15</v>
      </c>
      <c r="D101" s="126">
        <f aca="true" t="shared" si="67" ref="D101:N101">+$C$101*(D88+D89)</f>
        <v>0</v>
      </c>
      <c r="E101" s="126">
        <f t="shared" si="67"/>
        <v>0</v>
      </c>
      <c r="F101" s="126">
        <f aca="true" t="shared" si="68" ref="F101:K101">+$C$101*(F88+F89)</f>
        <v>0</v>
      </c>
      <c r="G101" s="126">
        <f t="shared" si="68"/>
        <v>0</v>
      </c>
      <c r="H101" s="126">
        <f t="shared" si="68"/>
        <v>0</v>
      </c>
      <c r="I101" s="126">
        <f t="shared" si="68"/>
        <v>0</v>
      </c>
      <c r="J101" s="126">
        <f t="shared" si="68"/>
        <v>0</v>
      </c>
      <c r="K101" s="126">
        <f t="shared" si="68"/>
        <v>0</v>
      </c>
      <c r="L101" s="126">
        <f t="shared" si="67"/>
        <v>0</v>
      </c>
      <c r="M101" s="126">
        <f t="shared" si="67"/>
        <v>0</v>
      </c>
      <c r="N101" s="126">
        <f t="shared" si="67"/>
        <v>0</v>
      </c>
    </row>
    <row r="102" spans="1:14" ht="13.5" thickBot="1">
      <c r="A102" s="527" t="s">
        <v>158</v>
      </c>
      <c r="B102" s="528"/>
      <c r="C102" s="529"/>
      <c r="D102" s="36">
        <f aca="true" t="shared" si="69" ref="D102:N102">SUM(D99:D101)</f>
        <v>0</v>
      </c>
      <c r="E102" s="36">
        <f t="shared" si="69"/>
        <v>0</v>
      </c>
      <c r="F102" s="36">
        <f aca="true" t="shared" si="70" ref="F102:K102">SUM(F99:F101)</f>
        <v>0</v>
      </c>
      <c r="G102" s="36">
        <f t="shared" si="70"/>
        <v>0</v>
      </c>
      <c r="H102" s="36">
        <f t="shared" si="70"/>
        <v>0</v>
      </c>
      <c r="I102" s="36">
        <f t="shared" si="70"/>
        <v>0</v>
      </c>
      <c r="J102" s="36">
        <f t="shared" si="70"/>
        <v>0</v>
      </c>
      <c r="K102" s="36">
        <f t="shared" si="70"/>
        <v>0</v>
      </c>
      <c r="L102" s="36">
        <f t="shared" si="69"/>
        <v>0</v>
      </c>
      <c r="M102" s="36">
        <f t="shared" si="69"/>
        <v>0</v>
      </c>
      <c r="N102" s="36">
        <f t="shared" si="69"/>
        <v>0</v>
      </c>
    </row>
    <row r="103" spans="1:14" ht="13.5" thickTop="1">
      <c r="A103" s="75"/>
      <c r="B103" s="75"/>
      <c r="C103" s="139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</row>
    <row r="104" spans="1:14" ht="12.75">
      <c r="A104" s="75"/>
      <c r="B104" s="75"/>
      <c r="C104" s="139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</row>
    <row r="105" spans="1:14" ht="12.75">
      <c r="A105" s="141"/>
      <c r="B105" s="141"/>
      <c r="C105" s="139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</row>
  </sheetData>
  <sheetProtection password="8318" sheet="1"/>
  <mergeCells count="14">
    <mergeCell ref="A83:C83"/>
    <mergeCell ref="A11:C11"/>
    <mergeCell ref="A23:C23"/>
    <mergeCell ref="A40:C40"/>
    <mergeCell ref="A69:C69"/>
    <mergeCell ref="A54:C54"/>
    <mergeCell ref="A66:C66"/>
    <mergeCell ref="A26:C26"/>
    <mergeCell ref="A4:N4"/>
    <mergeCell ref="A102:C102"/>
    <mergeCell ref="A97:C97"/>
    <mergeCell ref="A94:C94"/>
    <mergeCell ref="A86:C86"/>
    <mergeCell ref="A81:C81"/>
  </mergeCells>
  <printOptions horizontalCentered="1"/>
  <pageMargins left="0.75" right="0.75" top="0.3937007874015748" bottom="0.3937007874015748" header="0.5118110236220472" footer="0.3937007874015748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N37"/>
  <sheetViews>
    <sheetView showGridLines="0" showZeros="0" zoomScalePageLayoutView="0" workbookViewId="0" topLeftCell="A1">
      <selection activeCell="M33" sqref="M33"/>
    </sheetView>
  </sheetViews>
  <sheetFormatPr defaultColWidth="8.7109375" defaultRowHeight="12.75"/>
  <cols>
    <col min="1" max="1" width="26.7109375" style="67" customWidth="1"/>
    <col min="2" max="2" width="3.28125" style="67" customWidth="1"/>
    <col min="3" max="13" width="8.8515625" style="67" customWidth="1"/>
    <col min="14" max="18" width="11.421875" style="67" customWidth="1"/>
    <col min="19" max="16384" width="8.7109375" style="67" customWidth="1"/>
  </cols>
  <sheetData>
    <row r="1" spans="1:13" ht="12.75">
      <c r="A1" s="57"/>
      <c r="B1" s="57"/>
      <c r="C1" s="143"/>
      <c r="D1" s="143"/>
      <c r="E1" s="143"/>
      <c r="F1" s="143"/>
      <c r="G1" s="143"/>
      <c r="H1" s="143"/>
      <c r="I1" s="143"/>
      <c r="J1" s="143"/>
      <c r="K1" s="143"/>
      <c r="L1" s="144" t="s">
        <v>63</v>
      </c>
      <c r="M1" s="145" t="str">
        <f>+Pressupostos!E1</f>
        <v>XPTO SA</v>
      </c>
    </row>
    <row r="2" spans="1:13" ht="12.7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2" t="str">
        <f>+Pressupostos!B9</f>
        <v>Euros</v>
      </c>
    </row>
    <row r="3" spans="1:13" ht="12.7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2"/>
    </row>
    <row r="4" spans="1:13" ht="13.5" customHeight="1">
      <c r="A4" s="508" t="s">
        <v>173</v>
      </c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</row>
    <row r="5" spans="1:13" ht="12.75" customHeight="1">
      <c r="A5" s="57"/>
      <c r="B5" s="146"/>
      <c r="C5" s="146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3" ht="12.75">
      <c r="A6" s="57"/>
      <c r="B6" s="134"/>
      <c r="C6" s="146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3" ht="12.75">
      <c r="A7" s="135"/>
      <c r="B7" s="128"/>
      <c r="C7" s="54">
        <f>+VN!C8</f>
        <v>2016</v>
      </c>
      <c r="D7" s="54">
        <f>+VN!D8</f>
        <v>2017</v>
      </c>
      <c r="E7" s="54">
        <f>+VN!E8</f>
        <v>2018</v>
      </c>
      <c r="F7" s="54">
        <f>+VN!F8</f>
        <v>2019</v>
      </c>
      <c r="G7" s="54">
        <f>+VN!G8</f>
        <v>2020</v>
      </c>
      <c r="H7" s="54">
        <f>+VN!H8</f>
        <v>2021</v>
      </c>
      <c r="I7" s="54">
        <f>+VN!I8</f>
        <v>2022</v>
      </c>
      <c r="J7" s="54">
        <f>+VN!J8</f>
        <v>2023</v>
      </c>
      <c r="K7" s="54">
        <f>+VN!K8</f>
        <v>2024</v>
      </c>
      <c r="L7" s="54">
        <f>+VN!L8</f>
        <v>2025</v>
      </c>
      <c r="M7" s="54">
        <f>+VN!M8</f>
        <v>2026</v>
      </c>
    </row>
    <row r="8" spans="1:13" ht="12.75">
      <c r="A8" s="147" t="s">
        <v>82</v>
      </c>
      <c r="B8" s="148"/>
      <c r="C8" s="149"/>
      <c r="D8" s="100"/>
      <c r="E8" s="100"/>
      <c r="F8" s="100"/>
      <c r="G8" s="100"/>
      <c r="H8" s="100"/>
      <c r="I8" s="100"/>
      <c r="J8" s="100"/>
      <c r="K8" s="100"/>
      <c r="L8" s="100"/>
      <c r="M8" s="100"/>
    </row>
    <row r="9" spans="1:13" ht="12.75">
      <c r="A9" s="58" t="s">
        <v>85</v>
      </c>
      <c r="B9" s="148"/>
      <c r="C9" s="7"/>
      <c r="D9" s="111">
        <f>+C9</f>
        <v>0</v>
      </c>
      <c r="E9" s="111">
        <f aca="true" t="shared" si="0" ref="E9:J9">+D9</f>
        <v>0</v>
      </c>
      <c r="F9" s="111">
        <f t="shared" si="0"/>
        <v>0</v>
      </c>
      <c r="G9" s="111">
        <f t="shared" si="0"/>
        <v>0</v>
      </c>
      <c r="H9" s="111">
        <f t="shared" si="0"/>
        <v>0</v>
      </c>
      <c r="I9" s="111">
        <f t="shared" si="0"/>
        <v>0</v>
      </c>
      <c r="J9" s="111">
        <f t="shared" si="0"/>
        <v>0</v>
      </c>
      <c r="K9" s="111">
        <f>+J9</f>
        <v>0</v>
      </c>
      <c r="L9" s="111">
        <f>+K9</f>
        <v>0</v>
      </c>
      <c r="M9" s="111">
        <f>+L9</f>
        <v>0</v>
      </c>
    </row>
    <row r="10" spans="1:13" ht="12.75">
      <c r="A10" s="58" t="s">
        <v>49</v>
      </c>
      <c r="B10" s="148"/>
      <c r="C10" s="111">
        <f>VN!C84*Pressupostos!$C$13/12</f>
        <v>0</v>
      </c>
      <c r="D10" s="111">
        <f>VN!D84*Pressupostos!$C$13/12</f>
        <v>0</v>
      </c>
      <c r="E10" s="111">
        <f>VN!E84*Pressupostos!$C$13/12</f>
        <v>0</v>
      </c>
      <c r="F10" s="111">
        <f>VN!F84*Pressupostos!$C$13/12</f>
        <v>0</v>
      </c>
      <c r="G10" s="111">
        <f>VN!G84*Pressupostos!$C$13/12</f>
        <v>0</v>
      </c>
      <c r="H10" s="111">
        <f>VN!H84*Pressupostos!$C$13/12</f>
        <v>0</v>
      </c>
      <c r="I10" s="111">
        <f>VN!I84*Pressupostos!$C$13/12</f>
        <v>0</v>
      </c>
      <c r="J10" s="111">
        <f>VN!J84*Pressupostos!$C$13/12</f>
        <v>0</v>
      </c>
      <c r="K10" s="111">
        <f>VN!K84*Pressupostos!$C$13/12</f>
        <v>0</v>
      </c>
      <c r="L10" s="111">
        <f>VN!L84*Pressupostos!$C$13/12</f>
        <v>0</v>
      </c>
      <c r="M10" s="111">
        <f>VN!M84*Pressupostos!$C$13/12</f>
        <v>0</v>
      </c>
    </row>
    <row r="11" spans="1:13" ht="12.75">
      <c r="A11" s="58" t="s">
        <v>311</v>
      </c>
      <c r="B11" s="148"/>
      <c r="C11" s="111">
        <f>CMVMC!C16*Pressupostos!$C$15/12</f>
        <v>0</v>
      </c>
      <c r="D11" s="111">
        <f>CMVMC!D16*Pressupostos!$C$15/12</f>
        <v>0</v>
      </c>
      <c r="E11" s="111">
        <f>CMVMC!E16*Pressupostos!$C$15/12</f>
        <v>0</v>
      </c>
      <c r="F11" s="111">
        <f>CMVMC!F16*Pressupostos!$C$15/12</f>
        <v>0</v>
      </c>
      <c r="G11" s="111">
        <f>CMVMC!G16*Pressupostos!$C$15/12</f>
        <v>0</v>
      </c>
      <c r="H11" s="111">
        <f>CMVMC!H16*Pressupostos!$C$15/12</f>
        <v>0</v>
      </c>
      <c r="I11" s="111">
        <f>CMVMC!I16*Pressupostos!$C$15/12</f>
        <v>0</v>
      </c>
      <c r="J11" s="111">
        <f>CMVMC!J16*Pressupostos!$C$15/12</f>
        <v>0</v>
      </c>
      <c r="K11" s="111">
        <f>CMVMC!K16*Pressupostos!$C$15/12</f>
        <v>0</v>
      </c>
      <c r="L11" s="111">
        <f>CMVMC!L16*Pressupostos!$C$15/12</f>
        <v>0</v>
      </c>
      <c r="M11" s="111">
        <f>CMVMC!M16*Pressupostos!$C$15/12</f>
        <v>0</v>
      </c>
    </row>
    <row r="12" spans="1:13" ht="12.75">
      <c r="A12" s="58" t="s">
        <v>50</v>
      </c>
      <c r="B12" s="148"/>
      <c r="C12" s="111">
        <f aca="true" t="shared" si="1" ref="C12:M12">IF(C30&lt;0,-C30,0)+IF(C31&lt;0,-C31,0)+IF(C32&lt;0,-C32,0)</f>
        <v>0</v>
      </c>
      <c r="D12" s="111">
        <f t="shared" si="1"/>
        <v>0</v>
      </c>
      <c r="E12" s="111">
        <f aca="true" t="shared" si="2" ref="E12:J12">IF(E30&lt;0,-E30,0)+IF(E31&lt;0,-E31,0)+IF(E32&lt;0,-E32,0)</f>
        <v>0</v>
      </c>
      <c r="F12" s="111">
        <f t="shared" si="2"/>
        <v>0</v>
      </c>
      <c r="G12" s="111">
        <f t="shared" si="2"/>
        <v>0</v>
      </c>
      <c r="H12" s="111">
        <f t="shared" si="2"/>
        <v>0</v>
      </c>
      <c r="I12" s="111">
        <f t="shared" si="2"/>
        <v>0</v>
      </c>
      <c r="J12" s="111">
        <f t="shared" si="2"/>
        <v>0</v>
      </c>
      <c r="K12" s="111">
        <f t="shared" si="1"/>
        <v>0</v>
      </c>
      <c r="L12" s="111">
        <f t="shared" si="1"/>
        <v>0</v>
      </c>
      <c r="M12" s="111">
        <f t="shared" si="1"/>
        <v>0</v>
      </c>
    </row>
    <row r="13" spans="1:13" ht="12.75">
      <c r="A13" s="532" t="s">
        <v>159</v>
      </c>
      <c r="B13" s="533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12.75">
      <c r="A14" s="532" t="s">
        <v>159</v>
      </c>
      <c r="B14" s="533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</row>
    <row r="15" spans="1:13" ht="12.75">
      <c r="A15" s="530" t="s">
        <v>46</v>
      </c>
      <c r="B15" s="531"/>
      <c r="C15" s="150">
        <f aca="true" t="shared" si="3" ref="C15:M15">SUM(C9:C14)</f>
        <v>0</v>
      </c>
      <c r="D15" s="150">
        <f t="shared" si="3"/>
        <v>0</v>
      </c>
      <c r="E15" s="150">
        <f aca="true" t="shared" si="4" ref="E15:J15">SUM(E9:E14)</f>
        <v>0</v>
      </c>
      <c r="F15" s="150">
        <f t="shared" si="4"/>
        <v>0</v>
      </c>
      <c r="G15" s="150">
        <f t="shared" si="4"/>
        <v>0</v>
      </c>
      <c r="H15" s="150">
        <f t="shared" si="4"/>
        <v>0</v>
      </c>
      <c r="I15" s="150">
        <f t="shared" si="4"/>
        <v>0</v>
      </c>
      <c r="J15" s="150">
        <f t="shared" si="4"/>
        <v>0</v>
      </c>
      <c r="K15" s="150">
        <f t="shared" si="3"/>
        <v>0</v>
      </c>
      <c r="L15" s="150">
        <f t="shared" si="3"/>
        <v>0</v>
      </c>
      <c r="M15" s="150">
        <f t="shared" si="3"/>
        <v>0</v>
      </c>
    </row>
    <row r="16" spans="1:13" ht="12.75">
      <c r="A16" s="151" t="s">
        <v>83</v>
      </c>
      <c r="B16" s="148"/>
      <c r="C16" s="152"/>
      <c r="D16" s="153"/>
      <c r="E16" s="153"/>
      <c r="F16" s="153"/>
      <c r="G16" s="153"/>
      <c r="H16" s="153"/>
      <c r="I16" s="153"/>
      <c r="J16" s="153"/>
      <c r="K16" s="153"/>
      <c r="L16" s="153"/>
      <c r="M16" s="153"/>
    </row>
    <row r="17" spans="1:13" ht="12.75">
      <c r="A17" s="58" t="s">
        <v>16</v>
      </c>
      <c r="B17" s="148"/>
      <c r="C17" s="111">
        <f>(CMVMC!C20+FSE!F53)*Pressupostos!$C$14/12</f>
        <v>0</v>
      </c>
      <c r="D17" s="111">
        <f>(CMVMC!D20+FSE!G53)*Pressupostos!$C$14/12</f>
        <v>0</v>
      </c>
      <c r="E17" s="111">
        <f>(CMVMC!E20+FSE!H53)*Pressupostos!$C$14/12</f>
        <v>0</v>
      </c>
      <c r="F17" s="111">
        <f>(CMVMC!F20+FSE!I53)*Pressupostos!$C$14/12</f>
        <v>0</v>
      </c>
      <c r="G17" s="111">
        <f>(CMVMC!G20+FSE!J53)*Pressupostos!$C$14/12</f>
        <v>0</v>
      </c>
      <c r="H17" s="111">
        <f>(CMVMC!H20+FSE!K53)*Pressupostos!$C$14/12</f>
        <v>0</v>
      </c>
      <c r="I17" s="111">
        <f>(CMVMC!I20+FSE!L53)*Pressupostos!$C$14/12</f>
        <v>0</v>
      </c>
      <c r="J17" s="111">
        <f>(CMVMC!J20+FSE!M53)*Pressupostos!$C$14/12</f>
        <v>0</v>
      </c>
      <c r="K17" s="111">
        <f>(CMVMC!K20+FSE!N53)*Pressupostos!$C$14/12</f>
        <v>0</v>
      </c>
      <c r="L17" s="111">
        <f>(CMVMC!L20+FSE!O53)*Pressupostos!$C$14/12</f>
        <v>0</v>
      </c>
      <c r="M17" s="111">
        <f>(CMVMC!M20+FSE!P53)*Pressupostos!$C$14/12</f>
        <v>0</v>
      </c>
    </row>
    <row r="18" spans="1:13" ht="12.75">
      <c r="A18" s="58" t="s">
        <v>50</v>
      </c>
      <c r="B18" s="148"/>
      <c r="C18" s="111">
        <f aca="true" t="shared" si="5" ref="C18:M18">IF(C30&gt;0,C30,0)+IF(C31&gt;0,C31,0)+IF(C32&gt;0,C32,0)</f>
        <v>0</v>
      </c>
      <c r="D18" s="111">
        <f t="shared" si="5"/>
        <v>0</v>
      </c>
      <c r="E18" s="111">
        <f aca="true" t="shared" si="6" ref="E18:J18">IF(E30&gt;0,E30,0)+IF(E31&gt;0,E31,0)+IF(E32&gt;0,E32,0)</f>
        <v>0</v>
      </c>
      <c r="F18" s="111">
        <f t="shared" si="6"/>
        <v>0</v>
      </c>
      <c r="G18" s="111">
        <f t="shared" si="6"/>
        <v>0</v>
      </c>
      <c r="H18" s="111">
        <f t="shared" si="6"/>
        <v>0</v>
      </c>
      <c r="I18" s="111">
        <f t="shared" si="6"/>
        <v>0</v>
      </c>
      <c r="J18" s="111">
        <f t="shared" si="6"/>
        <v>0</v>
      </c>
      <c r="K18" s="111">
        <f t="shared" si="5"/>
        <v>0</v>
      </c>
      <c r="L18" s="111">
        <f t="shared" si="5"/>
        <v>0</v>
      </c>
      <c r="M18" s="111">
        <f t="shared" si="5"/>
        <v>0</v>
      </c>
    </row>
    <row r="19" spans="1:13" ht="12.75">
      <c r="A19" s="532" t="s">
        <v>159</v>
      </c>
      <c r="B19" s="533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1:13" ht="13.5" thickBot="1">
      <c r="A20" s="517" t="s">
        <v>46</v>
      </c>
      <c r="B20" s="518"/>
      <c r="C20" s="154">
        <f aca="true" t="shared" si="7" ref="C20:M20">+SUM(C17:C19)</f>
        <v>0</v>
      </c>
      <c r="D20" s="154">
        <f t="shared" si="7"/>
        <v>0</v>
      </c>
      <c r="E20" s="154">
        <f aca="true" t="shared" si="8" ref="E20:J20">+SUM(E17:E19)</f>
        <v>0</v>
      </c>
      <c r="F20" s="154">
        <f t="shared" si="8"/>
        <v>0</v>
      </c>
      <c r="G20" s="154">
        <f t="shared" si="8"/>
        <v>0</v>
      </c>
      <c r="H20" s="154">
        <f t="shared" si="8"/>
        <v>0</v>
      </c>
      <c r="I20" s="154">
        <f t="shared" si="8"/>
        <v>0</v>
      </c>
      <c r="J20" s="154">
        <f t="shared" si="8"/>
        <v>0</v>
      </c>
      <c r="K20" s="154">
        <f t="shared" si="7"/>
        <v>0</v>
      </c>
      <c r="L20" s="154">
        <f t="shared" si="7"/>
        <v>0</v>
      </c>
      <c r="M20" s="154">
        <f t="shared" si="7"/>
        <v>0</v>
      </c>
    </row>
    <row r="21" spans="1:13" ht="13.5" thickTop="1">
      <c r="A21" s="155"/>
      <c r="B21" s="115"/>
      <c r="C21" s="156"/>
      <c r="D21" s="157"/>
      <c r="E21" s="157"/>
      <c r="F21" s="157"/>
      <c r="G21" s="157"/>
      <c r="H21" s="157"/>
      <c r="I21" s="157"/>
      <c r="J21" s="157"/>
      <c r="K21" s="157"/>
      <c r="L21" s="157"/>
      <c r="M21" s="157"/>
    </row>
    <row r="22" spans="1:13" ht="13.5" thickBot="1">
      <c r="A22" s="158" t="s">
        <v>196</v>
      </c>
      <c r="B22" s="159"/>
      <c r="C22" s="154">
        <f aca="true" t="shared" si="9" ref="C22:M22">+C15-C20</f>
        <v>0</v>
      </c>
      <c r="D22" s="154">
        <f t="shared" si="9"/>
        <v>0</v>
      </c>
      <c r="E22" s="154">
        <f aca="true" t="shared" si="10" ref="E22:J22">+E15-E20</f>
        <v>0</v>
      </c>
      <c r="F22" s="154">
        <f t="shared" si="10"/>
        <v>0</v>
      </c>
      <c r="G22" s="154">
        <f t="shared" si="10"/>
        <v>0</v>
      </c>
      <c r="H22" s="154">
        <f t="shared" si="10"/>
        <v>0</v>
      </c>
      <c r="I22" s="154">
        <f t="shared" si="10"/>
        <v>0</v>
      </c>
      <c r="J22" s="154">
        <f t="shared" si="10"/>
        <v>0</v>
      </c>
      <c r="K22" s="154">
        <f t="shared" si="9"/>
        <v>0</v>
      </c>
      <c r="L22" s="154">
        <f t="shared" si="9"/>
        <v>0</v>
      </c>
      <c r="M22" s="154">
        <f t="shared" si="9"/>
        <v>0</v>
      </c>
    </row>
    <row r="23" spans="1:13" ht="13.5" thickTop="1">
      <c r="A23" s="160"/>
      <c r="B23" s="161"/>
      <c r="C23" s="156"/>
      <c r="D23" s="157"/>
      <c r="E23" s="157"/>
      <c r="F23" s="157"/>
      <c r="G23" s="157"/>
      <c r="H23" s="157"/>
      <c r="I23" s="157"/>
      <c r="J23" s="157"/>
      <c r="K23" s="157"/>
      <c r="L23" s="157"/>
      <c r="M23" s="157"/>
    </row>
    <row r="24" spans="1:13" ht="13.5" thickBot="1">
      <c r="A24" s="158" t="s">
        <v>84</v>
      </c>
      <c r="B24" s="159"/>
      <c r="C24" s="154">
        <f>+C22</f>
        <v>0</v>
      </c>
      <c r="D24" s="154">
        <f>+D22-C22</f>
        <v>0</v>
      </c>
      <c r="E24" s="154">
        <f aca="true" t="shared" si="11" ref="E24:J24">+E22-D22</f>
        <v>0</v>
      </c>
      <c r="F24" s="154">
        <f t="shared" si="11"/>
        <v>0</v>
      </c>
      <c r="G24" s="154">
        <f t="shared" si="11"/>
        <v>0</v>
      </c>
      <c r="H24" s="154">
        <f t="shared" si="11"/>
        <v>0</v>
      </c>
      <c r="I24" s="154">
        <f t="shared" si="11"/>
        <v>0</v>
      </c>
      <c r="J24" s="154">
        <f t="shared" si="11"/>
        <v>0</v>
      </c>
      <c r="K24" s="154">
        <f>+K22-J22</f>
        <v>0</v>
      </c>
      <c r="L24" s="154">
        <f>+L22-K22</f>
        <v>0</v>
      </c>
      <c r="M24" s="154">
        <f>+M22-L22</f>
        <v>0</v>
      </c>
    </row>
    <row r="25" spans="1:13" ht="13.5" thickTop="1">
      <c r="A25" s="155"/>
      <c r="B25" s="115"/>
      <c r="C25" s="120"/>
      <c r="D25" s="57"/>
      <c r="E25" s="57"/>
      <c r="F25" s="57"/>
      <c r="G25" s="57"/>
      <c r="H25" s="57"/>
      <c r="I25" s="57"/>
      <c r="J25" s="57"/>
      <c r="K25" s="57"/>
      <c r="L25" s="57"/>
      <c r="M25" s="57"/>
    </row>
    <row r="26" spans="1:13" ht="12.75">
      <c r="A26" s="162" t="s">
        <v>197</v>
      </c>
      <c r="B26" s="115"/>
      <c r="C26" s="120"/>
      <c r="D26" s="57"/>
      <c r="E26" s="57"/>
      <c r="F26" s="57"/>
      <c r="G26" s="57"/>
      <c r="H26" s="57"/>
      <c r="I26" s="57"/>
      <c r="J26" s="57"/>
      <c r="K26" s="57"/>
      <c r="L26" s="57"/>
      <c r="M26" s="57"/>
    </row>
    <row r="27" spans="1:13" ht="12.75">
      <c r="A27" s="57"/>
      <c r="B27" s="57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</row>
    <row r="28" spans="3:13" ht="12.75"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</row>
    <row r="29" spans="1:13" ht="12.75">
      <c r="A29" s="303" t="s">
        <v>251</v>
      </c>
      <c r="B29" s="305"/>
      <c r="C29" s="306">
        <f aca="true" t="shared" si="12" ref="C29:M29">+SUM(C30:C32)</f>
        <v>0</v>
      </c>
      <c r="D29" s="306">
        <f t="shared" si="12"/>
        <v>0</v>
      </c>
      <c r="E29" s="306">
        <f aca="true" t="shared" si="13" ref="E29:J29">+SUM(E30:E32)</f>
        <v>0</v>
      </c>
      <c r="F29" s="306">
        <f t="shared" si="13"/>
        <v>0</v>
      </c>
      <c r="G29" s="306">
        <f t="shared" si="13"/>
        <v>0</v>
      </c>
      <c r="H29" s="306">
        <f t="shared" si="13"/>
        <v>0</v>
      </c>
      <c r="I29" s="306">
        <f t="shared" si="13"/>
        <v>0</v>
      </c>
      <c r="J29" s="306">
        <f t="shared" si="13"/>
        <v>0</v>
      </c>
      <c r="K29" s="306">
        <f t="shared" si="12"/>
        <v>0</v>
      </c>
      <c r="L29" s="306">
        <f t="shared" si="12"/>
        <v>0</v>
      </c>
      <c r="M29" s="306">
        <f t="shared" si="12"/>
        <v>0</v>
      </c>
    </row>
    <row r="30" spans="1:14" ht="12.75">
      <c r="A30" s="304" t="s">
        <v>252</v>
      </c>
      <c r="B30" s="305"/>
      <c r="C30" s="307">
        <f>IF('Gastos com Pessoal'!D7=0,0,('Gastos com Pessoal'!D99+'Gastos com Pessoal'!D100+'Gastos com Pessoal'!D71+'Gastos com Pessoal'!D72)/'Gastos com Pessoal'!D7)</f>
        <v>0</v>
      </c>
      <c r="D30" s="307">
        <f>IF('Gastos com Pessoal'!E7=0,0,('Gastos com Pessoal'!E99+'Gastos com Pessoal'!E100+'Gastos com Pessoal'!E71+'Gastos com Pessoal'!E72)/'Gastos com Pessoal'!E7)</f>
        <v>0</v>
      </c>
      <c r="E30" s="307">
        <f>IF('Gastos com Pessoal'!F7=0,0,('Gastos com Pessoal'!F99+'Gastos com Pessoal'!F100+'Gastos com Pessoal'!F71+'Gastos com Pessoal'!F72)/'Gastos com Pessoal'!F7)</f>
        <v>0</v>
      </c>
      <c r="F30" s="307">
        <f>IF('Gastos com Pessoal'!G7=0,0,('Gastos com Pessoal'!G99+'Gastos com Pessoal'!G100+'Gastos com Pessoal'!G71+'Gastos com Pessoal'!G72)/'Gastos com Pessoal'!G7)</f>
        <v>0</v>
      </c>
      <c r="G30" s="307">
        <f>IF('Gastos com Pessoal'!H7=0,0,('Gastos com Pessoal'!H99+'Gastos com Pessoal'!H100+'Gastos com Pessoal'!H71+'Gastos com Pessoal'!H72)/'Gastos com Pessoal'!H7)</f>
        <v>0</v>
      </c>
      <c r="H30" s="307">
        <f>IF('Gastos com Pessoal'!I7=0,0,('Gastos com Pessoal'!I99+'Gastos com Pessoal'!I100+'Gastos com Pessoal'!I71+'Gastos com Pessoal'!I72)/'Gastos com Pessoal'!I7)</f>
        <v>0</v>
      </c>
      <c r="I30" s="307">
        <f>IF('Gastos com Pessoal'!J7=0,0,('Gastos com Pessoal'!J99+'Gastos com Pessoal'!J100+'Gastos com Pessoal'!J71+'Gastos com Pessoal'!J72)/'Gastos com Pessoal'!J7)</f>
        <v>0</v>
      </c>
      <c r="J30" s="307">
        <f>IF('Gastos com Pessoal'!K7=0,0,('Gastos com Pessoal'!K99+'Gastos com Pessoal'!K100+'Gastos com Pessoal'!K71+'Gastos com Pessoal'!K72)/'Gastos com Pessoal'!K7)</f>
        <v>0</v>
      </c>
      <c r="K30" s="307">
        <f>IF('Gastos com Pessoal'!L7=0,0,('Gastos com Pessoal'!L99+'Gastos com Pessoal'!L100+'Gastos com Pessoal'!L71+'Gastos com Pessoal'!L72)/'Gastos com Pessoal'!L7)</f>
        <v>0</v>
      </c>
      <c r="L30" s="307">
        <f>IF('Gastos com Pessoal'!M7=0,0,('Gastos com Pessoal'!M99+'Gastos com Pessoal'!M100+'Gastos com Pessoal'!M71+'Gastos com Pessoal'!M72)/'Gastos com Pessoal'!M7)</f>
        <v>0</v>
      </c>
      <c r="M30" s="307">
        <f>IF('Gastos com Pessoal'!N7=0,0,('Gastos com Pessoal'!N99+'Gastos com Pessoal'!N100+'Gastos com Pessoal'!N71+'Gastos com Pessoal'!N72)/'Gastos com Pessoal'!N7)</f>
        <v>0</v>
      </c>
      <c r="N30" s="472"/>
    </row>
    <row r="31" spans="1:13" ht="12.75">
      <c r="A31" s="304" t="s">
        <v>253</v>
      </c>
      <c r="B31" s="305"/>
      <c r="C31" s="307">
        <f>IF('Gastos com Pessoal'!D7=0,0,'Gastos com Pessoal'!D101/'Gastos com Pessoal'!D7)</f>
        <v>0</v>
      </c>
      <c r="D31" s="307">
        <f>IF('Gastos com Pessoal'!E7=0,0,'Gastos com Pessoal'!E101/'Gastos com Pessoal'!E7)</f>
        <v>0</v>
      </c>
      <c r="E31" s="307">
        <f>IF('Gastos com Pessoal'!F7=0,0,'Gastos com Pessoal'!F101/'Gastos com Pessoal'!F7)</f>
        <v>0</v>
      </c>
      <c r="F31" s="307">
        <f>IF('Gastos com Pessoal'!G7=0,0,'Gastos com Pessoal'!G101/'Gastos com Pessoal'!G7)</f>
        <v>0</v>
      </c>
      <c r="G31" s="307">
        <f>IF('Gastos com Pessoal'!H7=0,0,'Gastos com Pessoal'!H101/'Gastos com Pessoal'!H7)</f>
        <v>0</v>
      </c>
      <c r="H31" s="307">
        <f>IF('Gastos com Pessoal'!I7=0,0,'Gastos com Pessoal'!I101/'Gastos com Pessoal'!I7)</f>
        <v>0</v>
      </c>
      <c r="I31" s="307">
        <f>IF('Gastos com Pessoal'!J7=0,0,'Gastos com Pessoal'!J101/'Gastos com Pessoal'!J7)</f>
        <v>0</v>
      </c>
      <c r="J31" s="307">
        <f>IF('Gastos com Pessoal'!K7=0,0,'Gastos com Pessoal'!K101/'Gastos com Pessoal'!K7)</f>
        <v>0</v>
      </c>
      <c r="K31" s="307">
        <f>IF('Gastos com Pessoal'!L7=0,0,'Gastos com Pessoal'!L101/'Gastos com Pessoal'!L7)</f>
        <v>0</v>
      </c>
      <c r="L31" s="307">
        <f>IF('Gastos com Pessoal'!M7=0,0,'Gastos com Pessoal'!M101/'Gastos com Pessoal'!M7)</f>
        <v>0</v>
      </c>
      <c r="M31" s="307">
        <f>IF('Gastos com Pessoal'!N7=0,0,'Gastos com Pessoal'!N101/'Gastos com Pessoal'!N7)</f>
        <v>0</v>
      </c>
    </row>
    <row r="32" spans="1:13" ht="12.75">
      <c r="A32" s="304" t="s">
        <v>62</v>
      </c>
      <c r="B32" s="305"/>
      <c r="C32" s="307">
        <f>(VN!C82-CMVMC!C18-FSE!F51-Investimento!C31)/Pressupostos!$C$16</f>
        <v>0</v>
      </c>
      <c r="D32" s="307">
        <f>(VN!D82-CMVMC!D18-FSE!G51-Investimento!D31)/Pressupostos!$C$16</f>
        <v>0</v>
      </c>
      <c r="E32" s="307">
        <f>(VN!E82-CMVMC!E18-FSE!H51-Investimento!E31)/Pressupostos!$C$16</f>
        <v>0</v>
      </c>
      <c r="F32" s="307">
        <f>(VN!F82-CMVMC!F18-FSE!I51-Investimento!F31)/Pressupostos!$C$16</f>
        <v>0</v>
      </c>
      <c r="G32" s="307">
        <f>(VN!G82-CMVMC!G18-FSE!J51-Investimento!G31)/Pressupostos!$C$16</f>
        <v>0</v>
      </c>
      <c r="H32" s="307">
        <f>(VN!H82-CMVMC!H18-FSE!K51-Investimento!H31)/Pressupostos!$C$16</f>
        <v>0</v>
      </c>
      <c r="I32" s="307">
        <f>(VN!I82-CMVMC!I18-FSE!L51-Investimento!I31)/Pressupostos!$C$16</f>
        <v>0</v>
      </c>
      <c r="J32" s="307">
        <f>(VN!J82-CMVMC!J18-FSE!M51-Investimento!J31)/Pressupostos!$C$16</f>
        <v>0</v>
      </c>
      <c r="K32" s="307">
        <f>(VN!K82-CMVMC!K18-FSE!N51-Investimento!K31)/Pressupostos!$C$16</f>
        <v>0</v>
      </c>
      <c r="L32" s="307">
        <f>(VN!L82-CMVMC!L18-FSE!O51-Investimento!L31)/Pressupostos!$C$16</f>
        <v>0</v>
      </c>
      <c r="M32" s="307">
        <f>(VN!M82-CMVMC!M18-FSE!P51-Investimento!M31)/Pressupostos!$C$16</f>
        <v>0</v>
      </c>
    </row>
    <row r="33" ht="12.75">
      <c r="J33" s="165"/>
    </row>
    <row r="34" ht="12.75">
      <c r="J34" s="165"/>
    </row>
    <row r="35" ht="12.75">
      <c r="J35" s="165"/>
    </row>
    <row r="36" ht="12.75">
      <c r="J36" s="165"/>
    </row>
    <row r="37" ht="12.75">
      <c r="J37" s="165"/>
    </row>
  </sheetData>
  <sheetProtection password="8318" sheet="1"/>
  <mergeCells count="6">
    <mergeCell ref="A4:M4"/>
    <mergeCell ref="A15:B15"/>
    <mergeCell ref="A20:B20"/>
    <mergeCell ref="A19:B19"/>
    <mergeCell ref="A13:B13"/>
    <mergeCell ref="A14:B1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3" r:id="rId2"/>
  <headerFooter alignWithMargins="0">
    <oddFooter>&amp;C&amp;"Arial,Normal"&amp;8IAPMEI&amp;R&amp;"Arial,Normal"&amp;8&amp;P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lha3"/>
  <dimension ref="A1:M182"/>
  <sheetViews>
    <sheetView showGridLines="0" showZeros="0" zoomScalePageLayoutView="0" workbookViewId="0" topLeftCell="A13">
      <selection activeCell="Q43" sqref="Q43"/>
    </sheetView>
  </sheetViews>
  <sheetFormatPr defaultColWidth="8.7109375" defaultRowHeight="12.75"/>
  <cols>
    <col min="1" max="1" width="24.00390625" style="167" customWidth="1"/>
    <col min="2" max="2" width="8.7109375" style="167" customWidth="1"/>
    <col min="3" max="13" width="8.140625" style="167" customWidth="1"/>
    <col min="14" max="14" width="3.421875" style="167" customWidth="1"/>
    <col min="15" max="15" width="2.7109375" style="167" customWidth="1"/>
    <col min="16" max="16384" width="8.7109375" style="167" customWidth="1"/>
  </cols>
  <sheetData>
    <row r="1" spans="1:13" s="67" customFormat="1" ht="13.5">
      <c r="A1" s="57"/>
      <c r="B1" s="57"/>
      <c r="C1" s="47"/>
      <c r="D1" s="47"/>
      <c r="E1" s="47"/>
      <c r="F1" s="47"/>
      <c r="G1" s="47"/>
      <c r="H1" s="47"/>
      <c r="I1" s="47"/>
      <c r="J1" s="47"/>
      <c r="K1" s="47"/>
      <c r="L1" s="92" t="s">
        <v>63</v>
      </c>
      <c r="M1" s="93" t="str">
        <f>+Pressupostos!E1</f>
        <v>XPTO SA</v>
      </c>
    </row>
    <row r="2" spans="1:13" s="67" customFormat="1" ht="12.75">
      <c r="A2" s="51"/>
      <c r="B2" s="47"/>
      <c r="C2" s="47"/>
      <c r="D2" s="47"/>
      <c r="E2" s="47"/>
      <c r="F2" s="47"/>
      <c r="G2" s="47"/>
      <c r="H2" s="47"/>
      <c r="I2" s="47"/>
      <c r="J2" s="47"/>
      <c r="K2" s="47"/>
      <c r="L2" s="57"/>
      <c r="M2" s="52" t="str">
        <f>+Pressupostos!B9</f>
        <v>Euros</v>
      </c>
    </row>
    <row r="3" spans="1:13" s="67" customFormat="1" ht="12.75">
      <c r="A3" s="51"/>
      <c r="B3" s="47"/>
      <c r="C3" s="47"/>
      <c r="D3" s="47"/>
      <c r="E3" s="47"/>
      <c r="F3" s="47"/>
      <c r="G3" s="47"/>
      <c r="H3" s="47"/>
      <c r="I3" s="47"/>
      <c r="J3" s="47"/>
      <c r="K3" s="47"/>
      <c r="L3" s="57"/>
      <c r="M3" s="52"/>
    </row>
    <row r="4" spans="1:13" s="67" customFormat="1" ht="15.75">
      <c r="A4" s="508" t="s">
        <v>55</v>
      </c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</row>
    <row r="5" spans="1:13" ht="12.75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</row>
    <row r="6" spans="1:13" ht="12.75">
      <c r="A6" s="168"/>
      <c r="B6" s="168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</row>
    <row r="7" spans="1:13" ht="12.75">
      <c r="A7" s="540" t="s">
        <v>229</v>
      </c>
      <c r="B7" s="540"/>
      <c r="C7" s="170">
        <f>+VN!C8</f>
        <v>2016</v>
      </c>
      <c r="D7" s="170">
        <f>+VN!D8</f>
        <v>2017</v>
      </c>
      <c r="E7" s="170">
        <f>+VN!E8</f>
        <v>2018</v>
      </c>
      <c r="F7" s="170">
        <f>+VN!F8</f>
        <v>2019</v>
      </c>
      <c r="G7" s="170">
        <f>+VN!G8</f>
        <v>2020</v>
      </c>
      <c r="H7" s="170">
        <f>+VN!H8</f>
        <v>2021</v>
      </c>
      <c r="I7" s="170">
        <f>+VN!I8</f>
        <v>2022</v>
      </c>
      <c r="J7" s="170">
        <f>+VN!J8</f>
        <v>2023</v>
      </c>
      <c r="K7" s="170">
        <f>+VN!K8</f>
        <v>2024</v>
      </c>
      <c r="L7" s="170">
        <f>+VN!L8</f>
        <v>2025</v>
      </c>
      <c r="M7" s="170">
        <f>+VN!M8</f>
        <v>2026</v>
      </c>
    </row>
    <row r="8" spans="1:13" ht="12.75">
      <c r="A8" s="171" t="s">
        <v>256</v>
      </c>
      <c r="B8" s="185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</row>
    <row r="9" spans="1:13" ht="12.75">
      <c r="A9" s="311" t="s">
        <v>257</v>
      </c>
      <c r="B9" s="185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1:13" ht="12.75">
      <c r="A10" s="311" t="s">
        <v>258</v>
      </c>
      <c r="B10" s="185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1:13" ht="12.75">
      <c r="A11" s="311" t="s">
        <v>259</v>
      </c>
      <c r="B11" s="185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13" ht="12.75">
      <c r="A12" s="536" t="s">
        <v>260</v>
      </c>
      <c r="B12" s="537"/>
      <c r="C12" s="317">
        <f>+SUM(C9:C11)</f>
        <v>0</v>
      </c>
      <c r="D12" s="317">
        <f>+SUM(D9:D11)</f>
        <v>0</v>
      </c>
      <c r="E12" s="317">
        <f>+SUM(E9:E11)</f>
        <v>0</v>
      </c>
      <c r="F12" s="317">
        <f aca="true" t="shared" si="0" ref="F12:M12">+SUM(F9:F11)</f>
        <v>0</v>
      </c>
      <c r="G12" s="317">
        <f t="shared" si="0"/>
        <v>0</v>
      </c>
      <c r="H12" s="317">
        <f t="shared" si="0"/>
        <v>0</v>
      </c>
      <c r="I12" s="317">
        <f t="shared" si="0"/>
        <v>0</v>
      </c>
      <c r="J12" s="317">
        <f t="shared" si="0"/>
        <v>0</v>
      </c>
      <c r="K12" s="317">
        <f t="shared" si="0"/>
        <v>0</v>
      </c>
      <c r="L12" s="317">
        <f t="shared" si="0"/>
        <v>0</v>
      </c>
      <c r="M12" s="317">
        <f t="shared" si="0"/>
        <v>0</v>
      </c>
    </row>
    <row r="13" spans="1:13" ht="12.75">
      <c r="A13" s="171" t="s">
        <v>261</v>
      </c>
      <c r="B13" s="172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</row>
    <row r="14" spans="1:13" ht="12.75">
      <c r="A14" s="311" t="s">
        <v>393</v>
      </c>
      <c r="B14" s="172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</row>
    <row r="15" spans="1:13" ht="12.75">
      <c r="A15" s="311" t="s">
        <v>349</v>
      </c>
      <c r="B15" s="172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</row>
    <row r="16" spans="1:13" ht="12.75">
      <c r="A16" s="311" t="s">
        <v>352</v>
      </c>
      <c r="B16" s="172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</row>
    <row r="17" spans="1:13" ht="12.75">
      <c r="A17" s="311" t="s">
        <v>353</v>
      </c>
      <c r="B17" s="172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1:13" ht="12.75">
      <c r="A18" s="311" t="s">
        <v>354</v>
      </c>
      <c r="B18" s="172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</row>
    <row r="19" spans="1:13" ht="12.75">
      <c r="A19" s="311" t="s">
        <v>262</v>
      </c>
      <c r="B19" s="172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</row>
    <row r="20" spans="1:13" ht="12.75">
      <c r="A20" s="311" t="s">
        <v>355</v>
      </c>
      <c r="B20" s="172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1:13" ht="12.75">
      <c r="A21" s="534" t="s">
        <v>316</v>
      </c>
      <c r="B21" s="535"/>
      <c r="C21" s="175">
        <f>+SUM(C14:C20)</f>
        <v>0</v>
      </c>
      <c r="D21" s="175">
        <f>+SUM(D14:D20)</f>
        <v>0</v>
      </c>
      <c r="E21" s="175">
        <f>+SUM(E14:E20)</f>
        <v>0</v>
      </c>
      <c r="F21" s="175">
        <f aca="true" t="shared" si="1" ref="F21:M21">+SUM(F14:F20)</f>
        <v>0</v>
      </c>
      <c r="G21" s="175">
        <f t="shared" si="1"/>
        <v>0</v>
      </c>
      <c r="H21" s="175">
        <f t="shared" si="1"/>
        <v>0</v>
      </c>
      <c r="I21" s="175">
        <f t="shared" si="1"/>
        <v>0</v>
      </c>
      <c r="J21" s="175">
        <f t="shared" si="1"/>
        <v>0</v>
      </c>
      <c r="K21" s="175">
        <f t="shared" si="1"/>
        <v>0</v>
      </c>
      <c r="L21" s="175">
        <f t="shared" si="1"/>
        <v>0</v>
      </c>
      <c r="M21" s="175">
        <f t="shared" si="1"/>
        <v>0</v>
      </c>
    </row>
    <row r="22" spans="1:13" ht="12.75">
      <c r="A22" s="171" t="s">
        <v>308</v>
      </c>
      <c r="B22" s="172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</row>
    <row r="23" spans="1:13" ht="12.75">
      <c r="A23" s="311" t="s">
        <v>317</v>
      </c>
      <c r="B23" s="172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ht="12.75">
      <c r="A24" s="311" t="s">
        <v>318</v>
      </c>
      <c r="B24" s="172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</row>
    <row r="25" spans="1:13" ht="12.75">
      <c r="A25" s="311" t="s">
        <v>319</v>
      </c>
      <c r="B25" s="172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</row>
    <row r="26" spans="1:13" ht="12.75">
      <c r="A26" s="311" t="s">
        <v>320</v>
      </c>
      <c r="B26" s="172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</row>
    <row r="27" spans="1:13" ht="12.75">
      <c r="A27" s="311" t="s">
        <v>321</v>
      </c>
      <c r="B27" s="172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</row>
    <row r="28" spans="1:13" ht="12.75">
      <c r="A28" s="534" t="s">
        <v>315</v>
      </c>
      <c r="B28" s="535"/>
      <c r="C28" s="175">
        <f>+SUM(C23:C27)</f>
        <v>0</v>
      </c>
      <c r="D28" s="175">
        <f>+SUM(D23:D27)</f>
        <v>0</v>
      </c>
      <c r="E28" s="175">
        <f>+SUM(E23:E27)</f>
        <v>0</v>
      </c>
      <c r="F28" s="175">
        <f aca="true" t="shared" si="2" ref="F28:M28">+SUM(F23:F27)</f>
        <v>0</v>
      </c>
      <c r="G28" s="175">
        <f t="shared" si="2"/>
        <v>0</v>
      </c>
      <c r="H28" s="175">
        <f t="shared" si="2"/>
        <v>0</v>
      </c>
      <c r="I28" s="175">
        <f t="shared" si="2"/>
        <v>0</v>
      </c>
      <c r="J28" s="175">
        <f t="shared" si="2"/>
        <v>0</v>
      </c>
      <c r="K28" s="175">
        <f t="shared" si="2"/>
        <v>0</v>
      </c>
      <c r="L28" s="175">
        <f t="shared" si="2"/>
        <v>0</v>
      </c>
      <c r="M28" s="175">
        <f t="shared" si="2"/>
        <v>0</v>
      </c>
    </row>
    <row r="29" spans="1:13" ht="13.5" thickBot="1">
      <c r="A29" s="544" t="s">
        <v>234</v>
      </c>
      <c r="B29" s="544"/>
      <c r="C29" s="176">
        <f>+C12+C21+C28</f>
        <v>0</v>
      </c>
      <c r="D29" s="176">
        <f>+D12+D21+D28</f>
        <v>0</v>
      </c>
      <c r="E29" s="176">
        <f>+E12+E21+E28</f>
        <v>0</v>
      </c>
      <c r="F29" s="176">
        <f aca="true" t="shared" si="3" ref="F29:M29">+F12+F21+F28</f>
        <v>0</v>
      </c>
      <c r="G29" s="176">
        <f t="shared" si="3"/>
        <v>0</v>
      </c>
      <c r="H29" s="176">
        <f t="shared" si="3"/>
        <v>0</v>
      </c>
      <c r="I29" s="176">
        <f t="shared" si="3"/>
        <v>0</v>
      </c>
      <c r="J29" s="176">
        <f t="shared" si="3"/>
        <v>0</v>
      </c>
      <c r="K29" s="176">
        <f t="shared" si="3"/>
        <v>0</v>
      </c>
      <c r="L29" s="176">
        <f t="shared" si="3"/>
        <v>0</v>
      </c>
      <c r="M29" s="176">
        <f t="shared" si="3"/>
        <v>0</v>
      </c>
    </row>
    <row r="30" spans="1:13" ht="13.5" thickTop="1">
      <c r="A30" s="177"/>
      <c r="B30" s="177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</row>
    <row r="31" spans="1:13" ht="13.5" thickBot="1">
      <c r="A31" s="179" t="s">
        <v>62</v>
      </c>
      <c r="B31" s="295">
        <f>+Pressupostos!B22</f>
        <v>0.23</v>
      </c>
      <c r="C31" s="176">
        <f>+$B$31*(C16+C18+C20+C25)</f>
        <v>0</v>
      </c>
      <c r="D31" s="176">
        <f>+$B$31*(D16+D18+D20+D25)</f>
        <v>0</v>
      </c>
      <c r="E31" s="176">
        <f>+$B$31*(E16+E18+E20+E25)</f>
        <v>0</v>
      </c>
      <c r="F31" s="176">
        <f aca="true" t="shared" si="4" ref="F31:M31">+$B$31*(F16+F18+F20+F25)</f>
        <v>0</v>
      </c>
      <c r="G31" s="176">
        <f t="shared" si="4"/>
        <v>0</v>
      </c>
      <c r="H31" s="176">
        <f t="shared" si="4"/>
        <v>0</v>
      </c>
      <c r="I31" s="176">
        <f t="shared" si="4"/>
        <v>0</v>
      </c>
      <c r="J31" s="176">
        <f t="shared" si="4"/>
        <v>0</v>
      </c>
      <c r="K31" s="176">
        <f t="shared" si="4"/>
        <v>0</v>
      </c>
      <c r="L31" s="176">
        <f t="shared" si="4"/>
        <v>0</v>
      </c>
      <c r="M31" s="176">
        <f t="shared" si="4"/>
        <v>0</v>
      </c>
    </row>
    <row r="32" spans="1:13" ht="13.5" thickTop="1">
      <c r="A32" s="180"/>
      <c r="B32" s="181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</row>
    <row r="33" spans="1:13" ht="12.75">
      <c r="A33" s="540" t="s">
        <v>362</v>
      </c>
      <c r="B33" s="540"/>
      <c r="C33" s="170">
        <f>+C7</f>
        <v>2016</v>
      </c>
      <c r="D33" s="170">
        <f>+D7</f>
        <v>2017</v>
      </c>
      <c r="E33" s="170">
        <f>+E7</f>
        <v>2018</v>
      </c>
      <c r="F33" s="170">
        <f aca="true" t="shared" si="5" ref="F33:M33">+F7</f>
        <v>2019</v>
      </c>
      <c r="G33" s="170">
        <f t="shared" si="5"/>
        <v>2020</v>
      </c>
      <c r="H33" s="170">
        <f t="shared" si="5"/>
        <v>2021</v>
      </c>
      <c r="I33" s="170">
        <f t="shared" si="5"/>
        <v>2022</v>
      </c>
      <c r="J33" s="170">
        <f t="shared" si="5"/>
        <v>2023</v>
      </c>
      <c r="K33" s="170">
        <f t="shared" si="5"/>
        <v>2024</v>
      </c>
      <c r="L33" s="170">
        <f t="shared" si="5"/>
        <v>2025</v>
      </c>
      <c r="M33" s="170">
        <f t="shared" si="5"/>
        <v>2026</v>
      </c>
    </row>
    <row r="34" spans="1:13" ht="12.75">
      <c r="A34" s="171" t="s">
        <v>256</v>
      </c>
      <c r="B34" s="185"/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318"/>
    </row>
    <row r="35" spans="1:13" ht="12.75">
      <c r="A35" s="311" t="s">
        <v>257</v>
      </c>
      <c r="B35" s="185"/>
      <c r="C35" s="315">
        <f>+C9</f>
        <v>0</v>
      </c>
      <c r="D35" s="315">
        <f aca="true" t="shared" si="6" ref="D35:E37">+C35+D9</f>
        <v>0</v>
      </c>
      <c r="E35" s="315">
        <f t="shared" si="6"/>
        <v>0</v>
      </c>
      <c r="F35" s="315">
        <f aca="true" t="shared" si="7" ref="F35:M35">+E35+F9</f>
        <v>0</v>
      </c>
      <c r="G35" s="315">
        <f t="shared" si="7"/>
        <v>0</v>
      </c>
      <c r="H35" s="315">
        <f t="shared" si="7"/>
        <v>0</v>
      </c>
      <c r="I35" s="315">
        <f t="shared" si="7"/>
        <v>0</v>
      </c>
      <c r="J35" s="315">
        <f t="shared" si="7"/>
        <v>0</v>
      </c>
      <c r="K35" s="315">
        <f t="shared" si="7"/>
        <v>0</v>
      </c>
      <c r="L35" s="315">
        <f t="shared" si="7"/>
        <v>0</v>
      </c>
      <c r="M35" s="315">
        <f t="shared" si="7"/>
        <v>0</v>
      </c>
    </row>
    <row r="36" spans="1:13" ht="12.75">
      <c r="A36" s="311" t="s">
        <v>258</v>
      </c>
      <c r="B36" s="185"/>
      <c r="C36" s="315">
        <f>+C10</f>
        <v>0</v>
      </c>
      <c r="D36" s="315">
        <f t="shared" si="6"/>
        <v>0</v>
      </c>
      <c r="E36" s="315">
        <f t="shared" si="6"/>
        <v>0</v>
      </c>
      <c r="F36" s="315">
        <f aca="true" t="shared" si="8" ref="F36:M36">+E36+F10</f>
        <v>0</v>
      </c>
      <c r="G36" s="315">
        <f t="shared" si="8"/>
        <v>0</v>
      </c>
      <c r="H36" s="315">
        <f t="shared" si="8"/>
        <v>0</v>
      </c>
      <c r="I36" s="315">
        <f t="shared" si="8"/>
        <v>0</v>
      </c>
      <c r="J36" s="315">
        <f t="shared" si="8"/>
        <v>0</v>
      </c>
      <c r="K36" s="315">
        <f t="shared" si="8"/>
        <v>0</v>
      </c>
      <c r="L36" s="315">
        <f t="shared" si="8"/>
        <v>0</v>
      </c>
      <c r="M36" s="315">
        <f t="shared" si="8"/>
        <v>0</v>
      </c>
    </row>
    <row r="37" spans="1:13" ht="12.75">
      <c r="A37" s="311" t="s">
        <v>259</v>
      </c>
      <c r="B37" s="185"/>
      <c r="C37" s="315">
        <f>+C11</f>
        <v>0</v>
      </c>
      <c r="D37" s="315">
        <f t="shared" si="6"/>
        <v>0</v>
      </c>
      <c r="E37" s="315">
        <f t="shared" si="6"/>
        <v>0</v>
      </c>
      <c r="F37" s="315">
        <f aca="true" t="shared" si="9" ref="F37:M37">+E37+F11</f>
        <v>0</v>
      </c>
      <c r="G37" s="315">
        <f t="shared" si="9"/>
        <v>0</v>
      </c>
      <c r="H37" s="315">
        <f t="shared" si="9"/>
        <v>0</v>
      </c>
      <c r="I37" s="315">
        <f t="shared" si="9"/>
        <v>0</v>
      </c>
      <c r="J37" s="315">
        <f t="shared" si="9"/>
        <v>0</v>
      </c>
      <c r="K37" s="315">
        <f t="shared" si="9"/>
        <v>0</v>
      </c>
      <c r="L37" s="315">
        <f t="shared" si="9"/>
        <v>0</v>
      </c>
      <c r="M37" s="315">
        <f t="shared" si="9"/>
        <v>0</v>
      </c>
    </row>
    <row r="38" spans="1:13" ht="12.75">
      <c r="A38" s="536" t="s">
        <v>260</v>
      </c>
      <c r="B38" s="537"/>
      <c r="C38" s="314">
        <f>+SUM(C35:C37)</f>
        <v>0</v>
      </c>
      <c r="D38" s="314">
        <f>+SUM(D35:D37)</f>
        <v>0</v>
      </c>
      <c r="E38" s="314">
        <f>+SUM(E35:E37)</f>
        <v>0</v>
      </c>
      <c r="F38" s="314">
        <f aca="true" t="shared" si="10" ref="F38:M38">+SUM(F35:F37)</f>
        <v>0</v>
      </c>
      <c r="G38" s="314">
        <f t="shared" si="10"/>
        <v>0</v>
      </c>
      <c r="H38" s="314">
        <f t="shared" si="10"/>
        <v>0</v>
      </c>
      <c r="I38" s="314">
        <f t="shared" si="10"/>
        <v>0</v>
      </c>
      <c r="J38" s="314">
        <f t="shared" si="10"/>
        <v>0</v>
      </c>
      <c r="K38" s="314">
        <f t="shared" si="10"/>
        <v>0</v>
      </c>
      <c r="L38" s="314">
        <f t="shared" si="10"/>
        <v>0</v>
      </c>
      <c r="M38" s="314">
        <f t="shared" si="10"/>
        <v>0</v>
      </c>
    </row>
    <row r="39" spans="1:13" ht="12.75">
      <c r="A39" s="171" t="s">
        <v>261</v>
      </c>
      <c r="B39" s="172"/>
      <c r="C39" s="314"/>
      <c r="D39" s="314"/>
      <c r="E39" s="314"/>
      <c r="F39" s="314"/>
      <c r="G39" s="314"/>
      <c r="H39" s="314"/>
      <c r="I39" s="314"/>
      <c r="J39" s="314"/>
      <c r="K39" s="314"/>
      <c r="L39" s="314"/>
      <c r="M39" s="314"/>
    </row>
    <row r="40" spans="1:13" ht="12.75">
      <c r="A40" s="173" t="s">
        <v>346</v>
      </c>
      <c r="B40" s="172"/>
      <c r="C40" s="314">
        <f>+C14</f>
        <v>0</v>
      </c>
      <c r="D40" s="314">
        <f aca="true" t="shared" si="11" ref="D40:E46">+C40+D14</f>
        <v>0</v>
      </c>
      <c r="E40" s="314">
        <f t="shared" si="11"/>
        <v>0</v>
      </c>
      <c r="F40" s="314">
        <f aca="true" t="shared" si="12" ref="F40:M40">+E40+F14</f>
        <v>0</v>
      </c>
      <c r="G40" s="314">
        <f t="shared" si="12"/>
        <v>0</v>
      </c>
      <c r="H40" s="314">
        <f t="shared" si="12"/>
        <v>0</v>
      </c>
      <c r="I40" s="314">
        <f t="shared" si="12"/>
        <v>0</v>
      </c>
      <c r="J40" s="314">
        <f t="shared" si="12"/>
        <v>0</v>
      </c>
      <c r="K40" s="314">
        <f t="shared" si="12"/>
        <v>0</v>
      </c>
      <c r="L40" s="314">
        <f t="shared" si="12"/>
        <v>0</v>
      </c>
      <c r="M40" s="314">
        <f t="shared" si="12"/>
        <v>0</v>
      </c>
    </row>
    <row r="41" spans="1:13" ht="12.75">
      <c r="A41" s="173" t="s">
        <v>230</v>
      </c>
      <c r="B41" s="172"/>
      <c r="C41" s="315">
        <f aca="true" t="shared" si="13" ref="C41:C46">+C15</f>
        <v>0</v>
      </c>
      <c r="D41" s="315">
        <f t="shared" si="11"/>
        <v>0</v>
      </c>
      <c r="E41" s="315">
        <f t="shared" si="11"/>
        <v>0</v>
      </c>
      <c r="F41" s="315">
        <f aca="true" t="shared" si="14" ref="F41:M41">+E41+F15</f>
        <v>0</v>
      </c>
      <c r="G41" s="315">
        <f t="shared" si="14"/>
        <v>0</v>
      </c>
      <c r="H41" s="315">
        <f t="shared" si="14"/>
        <v>0</v>
      </c>
      <c r="I41" s="315">
        <f t="shared" si="14"/>
        <v>0</v>
      </c>
      <c r="J41" s="315">
        <f t="shared" si="14"/>
        <v>0</v>
      </c>
      <c r="K41" s="315">
        <f t="shared" si="14"/>
        <v>0</v>
      </c>
      <c r="L41" s="315">
        <f t="shared" si="14"/>
        <v>0</v>
      </c>
      <c r="M41" s="315">
        <f t="shared" si="14"/>
        <v>0</v>
      </c>
    </row>
    <row r="42" spans="1:13" ht="12.75">
      <c r="A42" s="173" t="s">
        <v>231</v>
      </c>
      <c r="B42" s="172"/>
      <c r="C42" s="315">
        <f t="shared" si="13"/>
        <v>0</v>
      </c>
      <c r="D42" s="315">
        <f t="shared" si="11"/>
        <v>0</v>
      </c>
      <c r="E42" s="315">
        <f t="shared" si="11"/>
        <v>0</v>
      </c>
      <c r="F42" s="315">
        <f aca="true" t="shared" si="15" ref="F42:M42">+E42+F16</f>
        <v>0</v>
      </c>
      <c r="G42" s="315">
        <f t="shared" si="15"/>
        <v>0</v>
      </c>
      <c r="H42" s="315">
        <f t="shared" si="15"/>
        <v>0</v>
      </c>
      <c r="I42" s="315">
        <f t="shared" si="15"/>
        <v>0</v>
      </c>
      <c r="J42" s="315">
        <f t="shared" si="15"/>
        <v>0</v>
      </c>
      <c r="K42" s="315">
        <f t="shared" si="15"/>
        <v>0</v>
      </c>
      <c r="L42" s="315">
        <f t="shared" si="15"/>
        <v>0</v>
      </c>
      <c r="M42" s="315">
        <f t="shared" si="15"/>
        <v>0</v>
      </c>
    </row>
    <row r="43" spans="1:13" ht="12.75">
      <c r="A43" s="173" t="s">
        <v>232</v>
      </c>
      <c r="B43" s="172"/>
      <c r="C43" s="315">
        <f t="shared" si="13"/>
        <v>0</v>
      </c>
      <c r="D43" s="315">
        <f t="shared" si="11"/>
        <v>0</v>
      </c>
      <c r="E43" s="315">
        <f t="shared" si="11"/>
        <v>0</v>
      </c>
      <c r="F43" s="315">
        <f aca="true" t="shared" si="16" ref="F43:M43">+E43+F17</f>
        <v>0</v>
      </c>
      <c r="G43" s="315">
        <f t="shared" si="16"/>
        <v>0</v>
      </c>
      <c r="H43" s="315">
        <f t="shared" si="16"/>
        <v>0</v>
      </c>
      <c r="I43" s="315">
        <f t="shared" si="16"/>
        <v>0</v>
      </c>
      <c r="J43" s="315">
        <f t="shared" si="16"/>
        <v>0</v>
      </c>
      <c r="K43" s="315">
        <f t="shared" si="16"/>
        <v>0</v>
      </c>
      <c r="L43" s="315">
        <f t="shared" si="16"/>
        <v>0</v>
      </c>
      <c r="M43" s="315">
        <f t="shared" si="16"/>
        <v>0</v>
      </c>
    </row>
    <row r="44" spans="1:13" ht="12.75">
      <c r="A44" s="173" t="s">
        <v>233</v>
      </c>
      <c r="B44" s="172"/>
      <c r="C44" s="315">
        <f t="shared" si="13"/>
        <v>0</v>
      </c>
      <c r="D44" s="315">
        <f t="shared" si="11"/>
        <v>0</v>
      </c>
      <c r="E44" s="315">
        <f t="shared" si="11"/>
        <v>0</v>
      </c>
      <c r="F44" s="315">
        <f aca="true" t="shared" si="17" ref="F44:M44">+E44+F18</f>
        <v>0</v>
      </c>
      <c r="G44" s="315">
        <f t="shared" si="17"/>
        <v>0</v>
      </c>
      <c r="H44" s="315">
        <f t="shared" si="17"/>
        <v>0</v>
      </c>
      <c r="I44" s="315">
        <f t="shared" si="17"/>
        <v>0</v>
      </c>
      <c r="J44" s="315">
        <f t="shared" si="17"/>
        <v>0</v>
      </c>
      <c r="K44" s="315">
        <f t="shared" si="17"/>
        <v>0</v>
      </c>
      <c r="L44" s="315">
        <f t="shared" si="17"/>
        <v>0</v>
      </c>
      <c r="M44" s="315">
        <f t="shared" si="17"/>
        <v>0</v>
      </c>
    </row>
    <row r="45" spans="1:13" ht="12.75">
      <c r="A45" s="173" t="s">
        <v>394</v>
      </c>
      <c r="B45" s="172"/>
      <c r="C45" s="315">
        <f t="shared" si="13"/>
        <v>0</v>
      </c>
      <c r="D45" s="315">
        <f t="shared" si="11"/>
        <v>0</v>
      </c>
      <c r="E45" s="315">
        <f t="shared" si="11"/>
        <v>0</v>
      </c>
      <c r="F45" s="315">
        <f aca="true" t="shared" si="18" ref="F45:M45">+E45+F19</f>
        <v>0</v>
      </c>
      <c r="G45" s="315">
        <f t="shared" si="18"/>
        <v>0</v>
      </c>
      <c r="H45" s="315">
        <f t="shared" si="18"/>
        <v>0</v>
      </c>
      <c r="I45" s="315">
        <f t="shared" si="18"/>
        <v>0</v>
      </c>
      <c r="J45" s="315">
        <f t="shared" si="18"/>
        <v>0</v>
      </c>
      <c r="K45" s="315">
        <f t="shared" si="18"/>
        <v>0</v>
      </c>
      <c r="L45" s="315">
        <f t="shared" si="18"/>
        <v>0</v>
      </c>
      <c r="M45" s="315">
        <f t="shared" si="18"/>
        <v>0</v>
      </c>
    </row>
    <row r="46" spans="1:13" ht="12.75">
      <c r="A46" s="173" t="s">
        <v>263</v>
      </c>
      <c r="B46" s="172"/>
      <c r="C46" s="315">
        <f t="shared" si="13"/>
        <v>0</v>
      </c>
      <c r="D46" s="315">
        <f t="shared" si="11"/>
        <v>0</v>
      </c>
      <c r="E46" s="315">
        <f t="shared" si="11"/>
        <v>0</v>
      </c>
      <c r="F46" s="315">
        <f aca="true" t="shared" si="19" ref="F46:M46">+E46+F20</f>
        <v>0</v>
      </c>
      <c r="G46" s="315">
        <f t="shared" si="19"/>
        <v>0</v>
      </c>
      <c r="H46" s="315">
        <f t="shared" si="19"/>
        <v>0</v>
      </c>
      <c r="I46" s="315">
        <f t="shared" si="19"/>
        <v>0</v>
      </c>
      <c r="J46" s="315">
        <f t="shared" si="19"/>
        <v>0</v>
      </c>
      <c r="K46" s="315">
        <f t="shared" si="19"/>
        <v>0</v>
      </c>
      <c r="L46" s="315">
        <f t="shared" si="19"/>
        <v>0</v>
      </c>
      <c r="M46" s="315">
        <f t="shared" si="19"/>
        <v>0</v>
      </c>
    </row>
    <row r="47" spans="1:13" ht="12.75">
      <c r="A47" s="534" t="s">
        <v>316</v>
      </c>
      <c r="B47" s="535"/>
      <c r="C47" s="316">
        <f>+SUM(C40:C46)</f>
        <v>0</v>
      </c>
      <c r="D47" s="316">
        <f>+SUM(D40:D46)</f>
        <v>0</v>
      </c>
      <c r="E47" s="316">
        <f>+SUM(E40:E46)</f>
        <v>0</v>
      </c>
      <c r="F47" s="316">
        <f aca="true" t="shared" si="20" ref="F47:M47">+SUM(F40:F46)</f>
        <v>0</v>
      </c>
      <c r="G47" s="316">
        <f t="shared" si="20"/>
        <v>0</v>
      </c>
      <c r="H47" s="316">
        <f t="shared" si="20"/>
        <v>0</v>
      </c>
      <c r="I47" s="316">
        <f t="shared" si="20"/>
        <v>0</v>
      </c>
      <c r="J47" s="316">
        <f t="shared" si="20"/>
        <v>0</v>
      </c>
      <c r="K47" s="316">
        <f t="shared" si="20"/>
        <v>0</v>
      </c>
      <c r="L47" s="316">
        <f t="shared" si="20"/>
        <v>0</v>
      </c>
      <c r="M47" s="316">
        <f t="shared" si="20"/>
        <v>0</v>
      </c>
    </row>
    <row r="48" spans="1:13" ht="12.75">
      <c r="A48" s="171" t="s">
        <v>308</v>
      </c>
      <c r="B48" s="172"/>
      <c r="C48" s="319"/>
      <c r="D48" s="319"/>
      <c r="E48" s="319"/>
      <c r="F48" s="319"/>
      <c r="G48" s="319"/>
      <c r="H48" s="319"/>
      <c r="I48" s="319"/>
      <c r="J48" s="319"/>
      <c r="K48" s="319"/>
      <c r="L48" s="319"/>
      <c r="M48" s="319"/>
    </row>
    <row r="49" spans="1:13" ht="12.75">
      <c r="A49" s="311" t="s">
        <v>317</v>
      </c>
      <c r="B49" s="172"/>
      <c r="C49" s="183">
        <f>+C23</f>
        <v>0</v>
      </c>
      <c r="D49" s="183">
        <f aca="true" t="shared" si="21" ref="D49:E53">+C49+D23</f>
        <v>0</v>
      </c>
      <c r="E49" s="183">
        <f t="shared" si="21"/>
        <v>0</v>
      </c>
      <c r="F49" s="183">
        <f aca="true" t="shared" si="22" ref="F49:M49">+E49+F23</f>
        <v>0</v>
      </c>
      <c r="G49" s="183">
        <f t="shared" si="22"/>
        <v>0</v>
      </c>
      <c r="H49" s="183">
        <f t="shared" si="22"/>
        <v>0</v>
      </c>
      <c r="I49" s="183">
        <f t="shared" si="22"/>
        <v>0</v>
      </c>
      <c r="J49" s="183">
        <f t="shared" si="22"/>
        <v>0</v>
      </c>
      <c r="K49" s="183">
        <f t="shared" si="22"/>
        <v>0</v>
      </c>
      <c r="L49" s="183">
        <f t="shared" si="22"/>
        <v>0</v>
      </c>
      <c r="M49" s="183">
        <f t="shared" si="22"/>
        <v>0</v>
      </c>
    </row>
    <row r="50" spans="1:13" ht="12.75">
      <c r="A50" s="311" t="s">
        <v>318</v>
      </c>
      <c r="B50" s="172"/>
      <c r="C50" s="183">
        <f>+C24</f>
        <v>0</v>
      </c>
      <c r="D50" s="183">
        <f t="shared" si="21"/>
        <v>0</v>
      </c>
      <c r="E50" s="183">
        <f t="shared" si="21"/>
        <v>0</v>
      </c>
      <c r="F50" s="183">
        <f aca="true" t="shared" si="23" ref="F50:M50">+E50+F24</f>
        <v>0</v>
      </c>
      <c r="G50" s="183">
        <f t="shared" si="23"/>
        <v>0</v>
      </c>
      <c r="H50" s="183">
        <f t="shared" si="23"/>
        <v>0</v>
      </c>
      <c r="I50" s="183">
        <f t="shared" si="23"/>
        <v>0</v>
      </c>
      <c r="J50" s="183">
        <f t="shared" si="23"/>
        <v>0</v>
      </c>
      <c r="K50" s="183">
        <f t="shared" si="23"/>
        <v>0</v>
      </c>
      <c r="L50" s="183">
        <f t="shared" si="23"/>
        <v>0</v>
      </c>
      <c r="M50" s="183">
        <f t="shared" si="23"/>
        <v>0</v>
      </c>
    </row>
    <row r="51" spans="1:13" ht="12.75">
      <c r="A51" s="311" t="s">
        <v>319</v>
      </c>
      <c r="B51" s="172"/>
      <c r="C51" s="183">
        <f>+C25</f>
        <v>0</v>
      </c>
      <c r="D51" s="183">
        <f t="shared" si="21"/>
        <v>0</v>
      </c>
      <c r="E51" s="183">
        <f t="shared" si="21"/>
        <v>0</v>
      </c>
      <c r="F51" s="183">
        <f aca="true" t="shared" si="24" ref="F51:M51">+E51+F25</f>
        <v>0</v>
      </c>
      <c r="G51" s="183">
        <f t="shared" si="24"/>
        <v>0</v>
      </c>
      <c r="H51" s="183">
        <f t="shared" si="24"/>
        <v>0</v>
      </c>
      <c r="I51" s="183">
        <f t="shared" si="24"/>
        <v>0</v>
      </c>
      <c r="J51" s="183">
        <f t="shared" si="24"/>
        <v>0</v>
      </c>
      <c r="K51" s="183">
        <f t="shared" si="24"/>
        <v>0</v>
      </c>
      <c r="L51" s="183">
        <f t="shared" si="24"/>
        <v>0</v>
      </c>
      <c r="M51" s="183">
        <f t="shared" si="24"/>
        <v>0</v>
      </c>
    </row>
    <row r="52" spans="1:13" ht="12.75">
      <c r="A52" s="311" t="s">
        <v>320</v>
      </c>
      <c r="B52" s="172"/>
      <c r="C52" s="183">
        <f>+C26</f>
        <v>0</v>
      </c>
      <c r="D52" s="183">
        <f t="shared" si="21"/>
        <v>0</v>
      </c>
      <c r="E52" s="183">
        <f t="shared" si="21"/>
        <v>0</v>
      </c>
      <c r="F52" s="183">
        <f aca="true" t="shared" si="25" ref="F52:M52">+E52+F26</f>
        <v>0</v>
      </c>
      <c r="G52" s="183">
        <f t="shared" si="25"/>
        <v>0</v>
      </c>
      <c r="H52" s="183">
        <f t="shared" si="25"/>
        <v>0</v>
      </c>
      <c r="I52" s="183">
        <f t="shared" si="25"/>
        <v>0</v>
      </c>
      <c r="J52" s="183">
        <f t="shared" si="25"/>
        <v>0</v>
      </c>
      <c r="K52" s="183">
        <f t="shared" si="25"/>
        <v>0</v>
      </c>
      <c r="L52" s="183">
        <f t="shared" si="25"/>
        <v>0</v>
      </c>
      <c r="M52" s="183">
        <f t="shared" si="25"/>
        <v>0</v>
      </c>
    </row>
    <row r="53" spans="1:13" ht="12.75">
      <c r="A53" s="311" t="s">
        <v>321</v>
      </c>
      <c r="B53" s="172"/>
      <c r="C53" s="183">
        <f>+C27</f>
        <v>0</v>
      </c>
      <c r="D53" s="183">
        <f t="shared" si="21"/>
        <v>0</v>
      </c>
      <c r="E53" s="183">
        <f t="shared" si="21"/>
        <v>0</v>
      </c>
      <c r="F53" s="183">
        <f aca="true" t="shared" si="26" ref="F53:M53">+E53+F27</f>
        <v>0</v>
      </c>
      <c r="G53" s="183">
        <f t="shared" si="26"/>
        <v>0</v>
      </c>
      <c r="H53" s="183">
        <f t="shared" si="26"/>
        <v>0</v>
      </c>
      <c r="I53" s="183">
        <f t="shared" si="26"/>
        <v>0</v>
      </c>
      <c r="J53" s="183">
        <f t="shared" si="26"/>
        <v>0</v>
      </c>
      <c r="K53" s="183">
        <f t="shared" si="26"/>
        <v>0</v>
      </c>
      <c r="L53" s="183">
        <f t="shared" si="26"/>
        <v>0</v>
      </c>
      <c r="M53" s="183">
        <f t="shared" si="26"/>
        <v>0</v>
      </c>
    </row>
    <row r="54" spans="1:13" ht="12.75">
      <c r="A54" s="534" t="s">
        <v>315</v>
      </c>
      <c r="B54" s="535"/>
      <c r="C54" s="316">
        <f>+SUM(C49:C53)</f>
        <v>0</v>
      </c>
      <c r="D54" s="316">
        <f>+SUM(D49:D53)</f>
        <v>0</v>
      </c>
      <c r="E54" s="316">
        <f>+SUM(E49:E53)</f>
        <v>0</v>
      </c>
      <c r="F54" s="316">
        <f aca="true" t="shared" si="27" ref="F54:M54">+SUM(F49:F53)</f>
        <v>0</v>
      </c>
      <c r="G54" s="316">
        <f t="shared" si="27"/>
        <v>0</v>
      </c>
      <c r="H54" s="316">
        <f t="shared" si="27"/>
        <v>0</v>
      </c>
      <c r="I54" s="316">
        <f t="shared" si="27"/>
        <v>0</v>
      </c>
      <c r="J54" s="316">
        <f t="shared" si="27"/>
        <v>0</v>
      </c>
      <c r="K54" s="316">
        <f t="shared" si="27"/>
        <v>0</v>
      </c>
      <c r="L54" s="316">
        <f t="shared" si="27"/>
        <v>0</v>
      </c>
      <c r="M54" s="316">
        <f t="shared" si="27"/>
        <v>0</v>
      </c>
    </row>
    <row r="55" spans="1:13" ht="13.5" thickBot="1">
      <c r="A55" s="544" t="s">
        <v>345</v>
      </c>
      <c r="B55" s="544"/>
      <c r="C55" s="176">
        <f>+C38+C47+C54</f>
        <v>0</v>
      </c>
      <c r="D55" s="176">
        <f>+D38+D47+D54</f>
        <v>0</v>
      </c>
      <c r="E55" s="176">
        <f>+E38+E47+E54</f>
        <v>0</v>
      </c>
      <c r="F55" s="176">
        <f aca="true" t="shared" si="28" ref="F55:M55">+F38+F47+F54</f>
        <v>0</v>
      </c>
      <c r="G55" s="176">
        <f t="shared" si="28"/>
        <v>0</v>
      </c>
      <c r="H55" s="176">
        <f t="shared" si="28"/>
        <v>0</v>
      </c>
      <c r="I55" s="176">
        <f t="shared" si="28"/>
        <v>0</v>
      </c>
      <c r="J55" s="176">
        <f t="shared" si="28"/>
        <v>0</v>
      </c>
      <c r="K55" s="176">
        <f t="shared" si="28"/>
        <v>0</v>
      </c>
      <c r="L55" s="176">
        <f t="shared" si="28"/>
        <v>0</v>
      </c>
      <c r="M55" s="176">
        <f t="shared" si="28"/>
        <v>0</v>
      </c>
    </row>
    <row r="56" spans="1:13" ht="13.5" thickTop="1">
      <c r="A56" s="181"/>
      <c r="B56" s="181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</row>
    <row r="57" spans="1:13" ht="12.75">
      <c r="A57" s="181"/>
      <c r="B57" s="181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</row>
    <row r="58" spans="1:13" ht="12.75">
      <c r="A58" s="541" t="s">
        <v>351</v>
      </c>
      <c r="B58" s="542"/>
      <c r="C58" s="543"/>
      <c r="D58" s="182"/>
      <c r="E58" s="182"/>
      <c r="F58" s="182"/>
      <c r="G58" s="182"/>
      <c r="H58" s="182"/>
      <c r="I58" s="182"/>
      <c r="J58" s="182"/>
      <c r="K58" s="182"/>
      <c r="L58" s="182"/>
      <c r="M58" s="182"/>
    </row>
    <row r="59" spans="1:13" ht="12.75">
      <c r="A59" s="321" t="s">
        <v>256</v>
      </c>
      <c r="B59" s="322"/>
      <c r="C59" s="323"/>
      <c r="D59" s="182"/>
      <c r="E59" s="182"/>
      <c r="F59" s="182"/>
      <c r="G59" s="182"/>
      <c r="H59" s="182"/>
      <c r="I59" s="182"/>
      <c r="J59" s="182"/>
      <c r="K59" s="182"/>
      <c r="L59" s="182"/>
      <c r="M59" s="182"/>
    </row>
    <row r="60" spans="1:13" ht="12.75">
      <c r="A60" s="311" t="s">
        <v>258</v>
      </c>
      <c r="B60" s="172"/>
      <c r="C60" s="324">
        <v>0.02</v>
      </c>
      <c r="D60" s="182"/>
      <c r="E60" s="182"/>
      <c r="F60" s="182"/>
      <c r="G60" s="182"/>
      <c r="H60" s="182"/>
      <c r="I60" s="182"/>
      <c r="J60" s="182"/>
      <c r="K60" s="182"/>
      <c r="L60" s="182"/>
      <c r="M60" s="182"/>
    </row>
    <row r="61" spans="1:13" ht="12.75">
      <c r="A61" s="311" t="s">
        <v>259</v>
      </c>
      <c r="B61" s="172"/>
      <c r="C61" s="324">
        <v>0.1</v>
      </c>
      <c r="D61" s="182"/>
      <c r="E61" s="182"/>
      <c r="F61" s="182"/>
      <c r="G61" s="182"/>
      <c r="H61" s="182"/>
      <c r="I61" s="182"/>
      <c r="J61" s="182"/>
      <c r="K61" s="182"/>
      <c r="L61" s="182"/>
      <c r="M61" s="182"/>
    </row>
    <row r="62" spans="1:13" ht="12.75">
      <c r="A62" s="171" t="s">
        <v>261</v>
      </c>
      <c r="B62" s="172"/>
      <c r="C62" s="325"/>
      <c r="D62" s="182"/>
      <c r="E62" s="182"/>
      <c r="F62" s="182"/>
      <c r="G62" s="182"/>
      <c r="H62" s="182"/>
      <c r="I62" s="182"/>
      <c r="J62" s="182"/>
      <c r="K62" s="182"/>
      <c r="L62" s="182"/>
      <c r="M62" s="182"/>
    </row>
    <row r="63" spans="1:13" ht="12.75">
      <c r="A63" s="311" t="s">
        <v>349</v>
      </c>
      <c r="B63" s="172"/>
      <c r="C63" s="324">
        <v>0.02</v>
      </c>
      <c r="D63" s="182"/>
      <c r="E63" s="182"/>
      <c r="F63" s="182"/>
      <c r="G63" s="182"/>
      <c r="H63" s="182"/>
      <c r="I63" s="182"/>
      <c r="J63" s="182"/>
      <c r="K63" s="182"/>
      <c r="L63" s="182"/>
      <c r="M63" s="182"/>
    </row>
    <row r="64" spans="1:13" ht="12.75">
      <c r="A64" s="311" t="s">
        <v>352</v>
      </c>
      <c r="B64" s="172"/>
      <c r="C64" s="324">
        <v>0.2</v>
      </c>
      <c r="D64" s="182"/>
      <c r="E64" s="182"/>
      <c r="F64" s="182"/>
      <c r="G64" s="182"/>
      <c r="H64" s="182"/>
      <c r="I64" s="182"/>
      <c r="J64" s="182"/>
      <c r="K64" s="182"/>
      <c r="L64" s="182"/>
      <c r="M64" s="182"/>
    </row>
    <row r="65" spans="1:13" ht="12.75">
      <c r="A65" s="311" t="s">
        <v>353</v>
      </c>
      <c r="B65" s="172"/>
      <c r="C65" s="324">
        <v>0.25</v>
      </c>
      <c r="D65" s="182"/>
      <c r="E65" s="182"/>
      <c r="F65" s="182"/>
      <c r="G65" s="182"/>
      <c r="H65" s="182"/>
      <c r="I65" s="182"/>
      <c r="J65" s="182"/>
      <c r="K65" s="182"/>
      <c r="L65" s="182"/>
      <c r="M65" s="182"/>
    </row>
    <row r="66" spans="1:13" ht="12.75">
      <c r="A66" s="311" t="s">
        <v>354</v>
      </c>
      <c r="B66" s="172"/>
      <c r="C66" s="324">
        <v>0.25</v>
      </c>
      <c r="D66" s="182"/>
      <c r="E66" s="182"/>
      <c r="F66" s="182"/>
      <c r="G66" s="182"/>
      <c r="H66" s="182"/>
      <c r="I66" s="182"/>
      <c r="J66" s="182"/>
      <c r="K66" s="182"/>
      <c r="L66" s="182"/>
      <c r="M66" s="182"/>
    </row>
    <row r="67" spans="1:13" ht="12.75">
      <c r="A67" s="311" t="s">
        <v>262</v>
      </c>
      <c r="B67" s="172"/>
      <c r="C67" s="324">
        <v>0.25</v>
      </c>
      <c r="D67" s="182"/>
      <c r="E67" s="182"/>
      <c r="F67" s="182"/>
      <c r="G67" s="182"/>
      <c r="H67" s="182"/>
      <c r="I67" s="182"/>
      <c r="J67" s="182"/>
      <c r="K67" s="182"/>
      <c r="L67" s="182"/>
      <c r="M67" s="182"/>
    </row>
    <row r="68" spans="1:13" ht="12.75">
      <c r="A68" s="311" t="s">
        <v>355</v>
      </c>
      <c r="B68" s="172"/>
      <c r="C68" s="324">
        <v>0.25</v>
      </c>
      <c r="D68" s="182"/>
      <c r="E68" s="182"/>
      <c r="F68" s="182"/>
      <c r="G68" s="182"/>
      <c r="H68" s="182"/>
      <c r="I68" s="182"/>
      <c r="J68" s="182"/>
      <c r="K68" s="182"/>
      <c r="L68" s="182"/>
      <c r="M68" s="182"/>
    </row>
    <row r="69" spans="1:13" ht="12.75">
      <c r="A69" s="171" t="s">
        <v>308</v>
      </c>
      <c r="B69" s="172"/>
      <c r="C69" s="325"/>
      <c r="D69" s="182"/>
      <c r="E69" s="182"/>
      <c r="F69" s="182"/>
      <c r="G69" s="182"/>
      <c r="H69" s="182"/>
      <c r="I69" s="182"/>
      <c r="J69" s="182"/>
      <c r="K69" s="182"/>
      <c r="L69" s="182"/>
      <c r="M69" s="182"/>
    </row>
    <row r="70" spans="1:13" ht="12.75">
      <c r="A70" s="311" t="s">
        <v>318</v>
      </c>
      <c r="B70" s="172"/>
      <c r="C70" s="326">
        <v>0.33333</v>
      </c>
      <c r="D70" s="327" t="s">
        <v>361</v>
      </c>
      <c r="E70" s="182"/>
      <c r="F70" s="182"/>
      <c r="G70" s="182"/>
      <c r="H70" s="182"/>
      <c r="I70" s="182"/>
      <c r="J70" s="182"/>
      <c r="K70" s="182"/>
      <c r="L70" s="182"/>
      <c r="M70" s="182"/>
    </row>
    <row r="71" spans="1:13" ht="12.75">
      <c r="A71" s="311" t="s">
        <v>319</v>
      </c>
      <c r="B71" s="172"/>
      <c r="C71" s="326">
        <f>100%/3</f>
        <v>0.3333333333333333</v>
      </c>
      <c r="D71" s="182"/>
      <c r="E71" s="182"/>
      <c r="F71" s="182"/>
      <c r="G71" s="182"/>
      <c r="H71" s="182"/>
      <c r="I71" s="182"/>
      <c r="J71" s="182"/>
      <c r="K71" s="182"/>
      <c r="L71" s="182"/>
      <c r="M71" s="182"/>
    </row>
    <row r="72" spans="1:13" ht="12.75">
      <c r="A72" s="311" t="s">
        <v>320</v>
      </c>
      <c r="B72" s="172"/>
      <c r="C72" s="326">
        <f>100%/3</f>
        <v>0.3333333333333333</v>
      </c>
      <c r="D72" s="182"/>
      <c r="E72" s="182"/>
      <c r="F72" s="182"/>
      <c r="G72" s="182"/>
      <c r="H72" s="182"/>
      <c r="I72" s="182"/>
      <c r="J72" s="182"/>
      <c r="K72" s="182"/>
      <c r="L72" s="182"/>
      <c r="M72" s="182"/>
    </row>
    <row r="73" spans="1:13" ht="12.75">
      <c r="A73" s="311" t="s">
        <v>321</v>
      </c>
      <c r="B73" s="172"/>
      <c r="C73" s="326">
        <f>100%/3</f>
        <v>0.3333333333333333</v>
      </c>
      <c r="D73" s="182"/>
      <c r="E73" s="182"/>
      <c r="F73" s="182"/>
      <c r="G73" s="182"/>
      <c r="H73" s="182"/>
      <c r="I73" s="182"/>
      <c r="J73" s="182"/>
      <c r="K73" s="182"/>
      <c r="L73" s="182"/>
      <c r="M73" s="182"/>
    </row>
    <row r="74" spans="1:13" ht="12.75">
      <c r="A74" s="181"/>
      <c r="B74" s="181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</row>
    <row r="75" spans="1:13" ht="12.75">
      <c r="A75" s="389" t="s">
        <v>409</v>
      </c>
      <c r="B75" s="172"/>
      <c r="C75" s="390">
        <f>+FSE!F8</f>
        <v>0</v>
      </c>
      <c r="D75" s="182"/>
      <c r="E75" s="182"/>
      <c r="F75" s="182"/>
      <c r="G75" s="182"/>
      <c r="H75" s="182"/>
      <c r="I75" s="182"/>
      <c r="J75" s="182"/>
      <c r="K75" s="182"/>
      <c r="L75" s="182"/>
      <c r="M75" s="182"/>
    </row>
    <row r="76" spans="1:13" ht="12.75">
      <c r="A76" s="181"/>
      <c r="B76" s="181"/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</row>
    <row r="77" spans="1:13" ht="12.75" hidden="1">
      <c r="A77" s="184" t="s">
        <v>348</v>
      </c>
      <c r="B77" s="185"/>
      <c r="C77" s="170">
        <f>+C7</f>
        <v>2016</v>
      </c>
      <c r="D77" s="170">
        <f aca="true" t="shared" si="29" ref="D77:M77">+C77+1</f>
        <v>2017</v>
      </c>
      <c r="E77" s="170">
        <f t="shared" si="29"/>
        <v>2018</v>
      </c>
      <c r="F77" s="170">
        <f t="shared" si="29"/>
        <v>2019</v>
      </c>
      <c r="G77" s="170">
        <f t="shared" si="29"/>
        <v>2020</v>
      </c>
      <c r="H77" s="170">
        <f t="shared" si="29"/>
        <v>2021</v>
      </c>
      <c r="I77" s="170">
        <f t="shared" si="29"/>
        <v>2022</v>
      </c>
      <c r="J77" s="170">
        <f t="shared" si="29"/>
        <v>2023</v>
      </c>
      <c r="K77" s="170">
        <f t="shared" si="29"/>
        <v>2024</v>
      </c>
      <c r="L77" s="170">
        <f t="shared" si="29"/>
        <v>2025</v>
      </c>
      <c r="M77" s="170">
        <f t="shared" si="29"/>
        <v>2026</v>
      </c>
    </row>
    <row r="78" spans="1:13" ht="12.75" hidden="1">
      <c r="A78" s="338" t="s">
        <v>256</v>
      </c>
      <c r="B78" s="172"/>
      <c r="C78" s="328"/>
      <c r="D78" s="328"/>
      <c r="E78" s="328"/>
      <c r="F78" s="328"/>
      <c r="G78" s="328"/>
      <c r="H78" s="328"/>
      <c r="I78" s="328"/>
      <c r="J78" s="328"/>
      <c r="K78" s="328"/>
      <c r="L78" s="328"/>
      <c r="M78" s="328"/>
    </row>
    <row r="79" spans="1:13" ht="12.75" hidden="1">
      <c r="A79" s="329" t="s">
        <v>258</v>
      </c>
      <c r="B79" s="330">
        <f>+C60</f>
        <v>0.02</v>
      </c>
      <c r="C79" s="331">
        <f>SUM(C80:C85)</f>
        <v>0</v>
      </c>
      <c r="D79" s="331">
        <f>SUM(D80:D85)</f>
        <v>0</v>
      </c>
      <c r="E79" s="331">
        <f>SUM(E80:E85)</f>
        <v>0</v>
      </c>
      <c r="F79" s="331">
        <f aca="true" t="shared" si="30" ref="F79:K79">SUM(F80:F85)</f>
        <v>0</v>
      </c>
      <c r="G79" s="331">
        <f t="shared" si="30"/>
        <v>0</v>
      </c>
      <c r="H79" s="331">
        <f t="shared" si="30"/>
        <v>0</v>
      </c>
      <c r="I79" s="331">
        <f t="shared" si="30"/>
        <v>0</v>
      </c>
      <c r="J79" s="331">
        <f t="shared" si="30"/>
        <v>0</v>
      </c>
      <c r="K79" s="331">
        <f t="shared" si="30"/>
        <v>0</v>
      </c>
      <c r="L79" s="331">
        <f>SUM(L80:L85)</f>
        <v>0</v>
      </c>
      <c r="M79" s="331">
        <f>SUM(M80:M85)</f>
        <v>0</v>
      </c>
    </row>
    <row r="80" spans="1:13" ht="12.75" hidden="1">
      <c r="A80" s="332">
        <f>C77</f>
        <v>2016</v>
      </c>
      <c r="B80" s="330"/>
      <c r="C80" s="331">
        <f>+IF(C$10&lt;0,0,C$10*$B$79)/12*C75</f>
        <v>0</v>
      </c>
      <c r="D80" s="331">
        <f>+IF(C10=0,0,+IF(ROUNDUP(SUM($C80:C80),0)&lt;$C$10,$C$10*$B$79,0))</f>
        <v>0</v>
      </c>
      <c r="E80" s="331">
        <f>+IF(D80=0,0,+IF(ROUNDUP(SUM($C80:D80),0)&lt;$C$10,$C$10*$B$79,0))</f>
        <v>0</v>
      </c>
      <c r="F80" s="469">
        <f>+IF(E80=0,0,+IF(ROUNDUP(SUM($C80:E80),0)&lt;$C$10,MIN(($C10-SUM($C80:E80)),$C$10*$B$79),0))</f>
        <v>0</v>
      </c>
      <c r="G80" s="469">
        <f>+IF(F80=0,0,+IF(ROUNDUP(SUM($C80:F80),0)&lt;$C$10,MIN(($C10-SUM($C80:F80)),$C$10*$B$79),0))</f>
        <v>0</v>
      </c>
      <c r="H80" s="469">
        <f>+IF(G80=0,0,+IF(ROUNDUP(SUM($C80:G80),0)&lt;$C$10,MIN(($C10-SUM($C80:G80)),$C$10*$B$79),0))</f>
        <v>0</v>
      </c>
      <c r="I80" s="469">
        <f>+IF(H80=0,0,+IF(ROUNDUP(SUM($C80:H80),0)&lt;$C$10,MIN(($C10-SUM($C80:H80)),$C$10*$B$79),0))</f>
        <v>0</v>
      </c>
      <c r="J80" s="469">
        <f>+IF(I80=0,0,+IF(ROUNDUP(SUM($C80:I80),0)&lt;$C$10,MIN(($C10-SUM($C80:I80)),$C$10*$B$79),0))</f>
        <v>0</v>
      </c>
      <c r="K80" s="469">
        <f>+IF(J80=0,0,+IF(ROUNDUP(SUM($C80:J80),0)&lt;$C$10,MIN(($C10-SUM($C80:J80)),$C$10*$B$79),0))</f>
        <v>0</v>
      </c>
      <c r="L80" s="469">
        <f>+IF(K80=0,0,+IF(ROUNDUP(SUM($C80:K80),0)&lt;$C$10,MIN(($C10-SUM($C80:K80)),$C$10*$B$79),0))</f>
        <v>0</v>
      </c>
      <c r="M80" s="469">
        <f>+IF(L80=0,0,+IF(ROUNDUP(SUM($C80:L80),0)&lt;$C$10,MIN(($C10-SUM($C80:L80)),$C$10*$B$79),0))</f>
        <v>0</v>
      </c>
    </row>
    <row r="81" spans="1:13" ht="12.75" hidden="1">
      <c r="A81" s="332">
        <f>A80+1</f>
        <v>2017</v>
      </c>
      <c r="B81" s="330"/>
      <c r="C81" s="331"/>
      <c r="D81" s="331">
        <f>+IF(D$10&lt;0,0,D$10*$B$79)</f>
        <v>0</v>
      </c>
      <c r="E81" s="331">
        <f>+IF(D81=0,0,+IF(ROUNDUP(SUM($D81:D81),0)&lt;$D$10,$D$10*$B$79,0))</f>
        <v>0</v>
      </c>
      <c r="F81" s="331">
        <f>+IF(E81=0,0,+IF(ROUNDUP(SUM($D81:E81),0)&lt;$D$10,$D$10*$B$79,0))</f>
        <v>0</v>
      </c>
      <c r="G81" s="331">
        <f>+IF(F81=0,0,+IF(ROUNDUP(SUM($D81:F81),0)&lt;$D$10,$D$10*$B$79,0))</f>
        <v>0</v>
      </c>
      <c r="H81" s="331">
        <f>+IF(G81=0,0,+IF(ROUNDUP(SUM($D81:G81),0)&lt;$D$10,$D$10*$B$79,0))</f>
        <v>0</v>
      </c>
      <c r="I81" s="331">
        <f>+IF(H81=0,0,+IF(ROUNDUP(SUM($D81:H81),0)&lt;$D$10,$D$10*$B$79,0))</f>
        <v>0</v>
      </c>
      <c r="J81" s="331">
        <f>+IF(I81=0,0,+IF(ROUNDUP(SUM($D81:I81),0)&lt;$D$10,$D$10*$B$79,0))</f>
        <v>0</v>
      </c>
      <c r="K81" s="331">
        <f>+IF(J81=0,0,+IF(ROUNDUP(SUM($D81:J81),0)&lt;$D$10,$D$10*$B$79,0))</f>
        <v>0</v>
      </c>
      <c r="L81" s="331">
        <f>+IF(K81=0,0,+IF(ROUNDUP(SUM($D81:K81),0)&lt;$D$10,$D$10*$B$79,0))</f>
        <v>0</v>
      </c>
      <c r="M81" s="331">
        <f>+IF(L81=0,0,+IF(ROUNDUP(SUM($D81:L81),0)&lt;$D$10,$D$10*$B$79,0))</f>
        <v>0</v>
      </c>
    </row>
    <row r="82" spans="1:13" ht="12.75" hidden="1">
      <c r="A82" s="332">
        <f>A81+1</f>
        <v>2018</v>
      </c>
      <c r="B82" s="330"/>
      <c r="C82" s="331"/>
      <c r="D82" s="331"/>
      <c r="E82" s="331">
        <f>+IF(E$10&lt;0,0,E$10*$B$79)</f>
        <v>0</v>
      </c>
      <c r="F82" s="331">
        <f aca="true" t="shared" si="31" ref="F82:M82">+IF(F$10&lt;0,0,F$10*$B$79)</f>
        <v>0</v>
      </c>
      <c r="G82" s="331">
        <f t="shared" si="31"/>
        <v>0</v>
      </c>
      <c r="H82" s="331">
        <f t="shared" si="31"/>
        <v>0</v>
      </c>
      <c r="I82" s="331">
        <f t="shared" si="31"/>
        <v>0</v>
      </c>
      <c r="J82" s="331">
        <f t="shared" si="31"/>
        <v>0</v>
      </c>
      <c r="K82" s="331">
        <f>+IF(K$10&lt;0,0,K$10*$B$79)</f>
        <v>0</v>
      </c>
      <c r="L82" s="331">
        <f t="shared" si="31"/>
        <v>0</v>
      </c>
      <c r="M82" s="331">
        <f t="shared" si="31"/>
        <v>0</v>
      </c>
    </row>
    <row r="83" spans="1:13" ht="12.75" hidden="1">
      <c r="A83" s="332">
        <f>A82+1</f>
        <v>2019</v>
      </c>
      <c r="B83" s="330"/>
      <c r="C83" s="331"/>
      <c r="D83" s="331"/>
      <c r="E83" s="331"/>
      <c r="F83" s="331"/>
      <c r="G83" s="331"/>
      <c r="H83" s="331"/>
      <c r="I83" s="331"/>
      <c r="J83" s="331"/>
      <c r="K83" s="331"/>
      <c r="L83" s="331"/>
      <c r="M83" s="331"/>
    </row>
    <row r="84" spans="1:13" ht="12.75" hidden="1">
      <c r="A84" s="332">
        <f>A83+1</f>
        <v>2020</v>
      </c>
      <c r="B84" s="330"/>
      <c r="C84" s="331"/>
      <c r="D84" s="331"/>
      <c r="E84" s="331"/>
      <c r="F84" s="331"/>
      <c r="G84" s="331"/>
      <c r="H84" s="331"/>
      <c r="I84" s="331"/>
      <c r="J84" s="331"/>
      <c r="K84" s="331"/>
      <c r="L84" s="331"/>
      <c r="M84" s="331"/>
    </row>
    <row r="85" spans="1:13" ht="12.75" hidden="1">
      <c r="A85" s="332">
        <f>A84+1</f>
        <v>2021</v>
      </c>
      <c r="B85" s="330"/>
      <c r="C85" s="331"/>
      <c r="D85" s="331"/>
      <c r="E85" s="331"/>
      <c r="F85" s="331"/>
      <c r="G85" s="331"/>
      <c r="H85" s="331"/>
      <c r="I85" s="331"/>
      <c r="J85" s="331"/>
      <c r="K85" s="331"/>
      <c r="L85" s="331"/>
      <c r="M85" s="331"/>
    </row>
    <row r="86" spans="1:13" ht="12.75" hidden="1">
      <c r="A86" s="329" t="s">
        <v>259</v>
      </c>
      <c r="B86" s="330">
        <f>+C61</f>
        <v>0.1</v>
      </c>
      <c r="C86" s="331">
        <f>SUM(C87:C92)</f>
        <v>0</v>
      </c>
      <c r="D86" s="331">
        <f>SUM(D87:D92)</f>
        <v>0</v>
      </c>
      <c r="E86" s="331">
        <f>SUM(E87:E92)</f>
        <v>0</v>
      </c>
      <c r="F86" s="331">
        <f aca="true" t="shared" si="32" ref="F86:K86">SUM(F87:F92)</f>
        <v>0</v>
      </c>
      <c r="G86" s="331">
        <f t="shared" si="32"/>
        <v>0</v>
      </c>
      <c r="H86" s="331">
        <f t="shared" si="32"/>
        <v>0</v>
      </c>
      <c r="I86" s="331">
        <f t="shared" si="32"/>
        <v>0</v>
      </c>
      <c r="J86" s="331">
        <f t="shared" si="32"/>
        <v>0</v>
      </c>
      <c r="K86" s="331">
        <f t="shared" si="32"/>
        <v>0</v>
      </c>
      <c r="L86" s="331">
        <f>SUM(L87:L92)</f>
        <v>0</v>
      </c>
      <c r="M86" s="331">
        <f>SUM(M87:M92)</f>
        <v>0</v>
      </c>
    </row>
    <row r="87" spans="1:13" ht="12.75" hidden="1">
      <c r="A87" s="332">
        <f aca="true" t="shared" si="33" ref="A87:A92">A80</f>
        <v>2016</v>
      </c>
      <c r="B87" s="330"/>
      <c r="C87" s="331">
        <f>+IF(C$11&lt;0,0,C$11*$B$86)</f>
        <v>0</v>
      </c>
      <c r="D87" s="331">
        <f>+IF(C11=0,0,+IF(ROUNDUP(SUM($C87:C87),0)&lt;$C$11,$C$11*$B$86,0))</f>
        <v>0</v>
      </c>
      <c r="E87" s="331">
        <f>+IF(D87=0,0,+IF(ROUNDUP(SUM($C87:D87),0)&lt;$C$11,$C$11*$B$86,0))</f>
        <v>0</v>
      </c>
      <c r="F87" s="470">
        <f>+IF(E87=0,0,+IF(ROUNDUP(SUM($C87:E87),0)&lt;$C$11,MIN(($C11-SUM($C87:E87)),$C$11*$B$86),0))</f>
        <v>0</v>
      </c>
      <c r="G87" s="470">
        <f>+IF(F87=0,0,+IF(ROUNDUP(SUM($C87:F87),0)&lt;$C$11,MIN(($C11-SUM($C87:F87)),$C$11*$B$86),0))</f>
        <v>0</v>
      </c>
      <c r="H87" s="470">
        <f>+IF(G87=0,0,+IF(ROUNDUP(SUM($C87:G87),0)&lt;$C$11,MIN(($C11-SUM($C87:G87)),$C$11*$B$86),0))</f>
        <v>0</v>
      </c>
      <c r="I87" s="470">
        <f>+IF(H87=0,0,+IF(ROUNDUP(SUM($C87:H87),0)&lt;$C$11,MIN(($C11-SUM($C87:H87)),$C$11*$B$86),0))</f>
        <v>0</v>
      </c>
      <c r="J87" s="470">
        <f>+IF(I87=0,0,+IF(ROUNDUP(SUM($C87:I87),0)&lt;$C$11,MIN(($C11-SUM($C87:I87)),$C$11*$B$86),0))</f>
        <v>0</v>
      </c>
      <c r="K87" s="470">
        <f>+IF(J87=0,0,+IF(ROUNDUP(SUM($C87:J87),0)&lt;$C$11,MIN(($C11-SUM($C87:J87)),$C$11*$B$86),0))</f>
        <v>0</v>
      </c>
      <c r="L87" s="470">
        <f>+IF(K87=0,0,+IF(ROUNDUP(SUM($C87:K87),0)&lt;$C$11,MIN(($C11-SUM($C87:K87)),$C$11*$B$86),0))</f>
        <v>0</v>
      </c>
      <c r="M87" s="470">
        <f>+IF(L87=0,0,+IF(ROUNDUP(SUM($C87:L87),0)&lt;$C$11,MIN(($C11-SUM($C87:L87)),$C$11*$B$86),0))</f>
        <v>0</v>
      </c>
    </row>
    <row r="88" spans="1:13" ht="12.75" hidden="1">
      <c r="A88" s="332">
        <f t="shared" si="33"/>
        <v>2017</v>
      </c>
      <c r="B88" s="330"/>
      <c r="C88" s="331"/>
      <c r="D88" s="331">
        <f>+IF(D$11&lt;0,0,D$11*$B$86)</f>
        <v>0</v>
      </c>
      <c r="E88" s="331">
        <f>+IF(D88=0,0,+IF(ROUNDUP(SUM($D88:D88),0)&lt;$D$11,$D$11*$B$86,0))</f>
        <v>0</v>
      </c>
      <c r="F88" s="331">
        <f>+IF(E88=0,0,+IF(ROUNDUP(SUM($D88:E88),0)&lt;$D$11,$D$11*$B$86,0))</f>
        <v>0</v>
      </c>
      <c r="G88" s="331">
        <f>+IF(F88=0,0,+IF(ROUNDUP(SUM($D88:F88),0)&lt;$D$11,$D$11*$B$86,0))</f>
        <v>0</v>
      </c>
      <c r="H88" s="331">
        <f>+IF(G88=0,0,+IF(ROUNDUP(SUM($D88:G88),0)&lt;$D$11,$D$11*$B$86,0))</f>
        <v>0</v>
      </c>
      <c r="I88" s="331">
        <f>+IF(H88=0,0,+IF(ROUNDUP(SUM($D88:H88),0)&lt;$D$11,$D$11*$B$86,0))</f>
        <v>0</v>
      </c>
      <c r="J88" s="331">
        <f>+IF(I88=0,0,+IF(ROUNDUP(SUM($D88:I88),0)&lt;$D$11,$D$11*$B$86,0))</f>
        <v>0</v>
      </c>
      <c r="K88" s="331">
        <f>+IF(J88=0,0,+IF(ROUNDUP(SUM($D88:J88),0)&lt;$D$11,$D$11*$B$86,0))</f>
        <v>0</v>
      </c>
      <c r="L88" s="331">
        <f>+IF(K88=0,0,+IF(ROUNDUP(SUM($D88:K88),0)&lt;$D$11,$D$11*$B$86,0))</f>
        <v>0</v>
      </c>
      <c r="M88" s="331">
        <f>+IF(L88=0,0,+IF(ROUNDUP(SUM($D88:L88),0)&lt;$D$11,$D$11*$B$86,0))</f>
        <v>0</v>
      </c>
    </row>
    <row r="89" spans="1:13" ht="12.75" hidden="1">
      <c r="A89" s="332">
        <f t="shared" si="33"/>
        <v>2018</v>
      </c>
      <c r="B89" s="330"/>
      <c r="C89" s="331"/>
      <c r="D89" s="331"/>
      <c r="E89" s="331">
        <f>+IF(E$11&lt;0,0,E$11*$B$86)</f>
        <v>0</v>
      </c>
      <c r="F89" s="331">
        <f aca="true" t="shared" si="34" ref="F89:M89">+IF(F$11&lt;0,0,F$11*$B$86)</f>
        <v>0</v>
      </c>
      <c r="G89" s="331">
        <f t="shared" si="34"/>
        <v>0</v>
      </c>
      <c r="H89" s="331">
        <f t="shared" si="34"/>
        <v>0</v>
      </c>
      <c r="I89" s="331">
        <f t="shared" si="34"/>
        <v>0</v>
      </c>
      <c r="J89" s="331">
        <f t="shared" si="34"/>
        <v>0</v>
      </c>
      <c r="K89" s="331">
        <f>+IF(K$11&lt;0,0,K$11*$B$86)</f>
        <v>0</v>
      </c>
      <c r="L89" s="331">
        <f t="shared" si="34"/>
        <v>0</v>
      </c>
      <c r="M89" s="331">
        <f t="shared" si="34"/>
        <v>0</v>
      </c>
    </row>
    <row r="90" spans="1:13" ht="12.75" hidden="1">
      <c r="A90" s="332">
        <f t="shared" si="33"/>
        <v>2019</v>
      </c>
      <c r="B90" s="330"/>
      <c r="C90" s="331"/>
      <c r="D90" s="331"/>
      <c r="E90" s="331"/>
      <c r="F90" s="331"/>
      <c r="G90" s="331"/>
      <c r="H90" s="331"/>
      <c r="I90" s="331"/>
      <c r="J90" s="331"/>
      <c r="K90" s="331"/>
      <c r="L90" s="331"/>
      <c r="M90" s="331"/>
    </row>
    <row r="91" spans="1:13" ht="12.75" hidden="1">
      <c r="A91" s="332">
        <f t="shared" si="33"/>
        <v>2020</v>
      </c>
      <c r="B91" s="330"/>
      <c r="C91" s="331"/>
      <c r="D91" s="331"/>
      <c r="E91" s="331"/>
      <c r="F91" s="331"/>
      <c r="G91" s="331"/>
      <c r="H91" s="331"/>
      <c r="I91" s="331"/>
      <c r="J91" s="331"/>
      <c r="K91" s="331"/>
      <c r="L91" s="331"/>
      <c r="M91" s="331"/>
    </row>
    <row r="92" spans="1:13" ht="12.75" hidden="1">
      <c r="A92" s="332">
        <f t="shared" si="33"/>
        <v>2021</v>
      </c>
      <c r="B92" s="330"/>
      <c r="C92" s="331"/>
      <c r="D92" s="331"/>
      <c r="E92" s="331"/>
      <c r="F92" s="331"/>
      <c r="G92" s="331"/>
      <c r="H92" s="331"/>
      <c r="I92" s="331"/>
      <c r="J92" s="331"/>
      <c r="K92" s="331"/>
      <c r="L92" s="331"/>
      <c r="M92" s="331"/>
    </row>
    <row r="93" spans="1:13" ht="12.75" hidden="1">
      <c r="A93" s="538" t="s">
        <v>46</v>
      </c>
      <c r="B93" s="539"/>
      <c r="C93" s="341">
        <f>+C79+C86</f>
        <v>0</v>
      </c>
      <c r="D93" s="341">
        <f>+D79+D86</f>
        <v>0</v>
      </c>
      <c r="E93" s="341">
        <f>+E79+E86</f>
        <v>0</v>
      </c>
      <c r="F93" s="341">
        <f aca="true" t="shared" si="35" ref="F93:K93">+F79+F86</f>
        <v>0</v>
      </c>
      <c r="G93" s="341">
        <f t="shared" si="35"/>
        <v>0</v>
      </c>
      <c r="H93" s="341">
        <f t="shared" si="35"/>
        <v>0</v>
      </c>
      <c r="I93" s="341">
        <f t="shared" si="35"/>
        <v>0</v>
      </c>
      <c r="J93" s="341">
        <f t="shared" si="35"/>
        <v>0</v>
      </c>
      <c r="K93" s="341">
        <f t="shared" si="35"/>
        <v>0</v>
      </c>
      <c r="L93" s="341">
        <f>+L79+L86</f>
        <v>0</v>
      </c>
      <c r="M93" s="341">
        <f>+M79+M86</f>
        <v>0</v>
      </c>
    </row>
    <row r="94" spans="1:13" ht="12.75" hidden="1">
      <c r="A94" s="338" t="s">
        <v>261</v>
      </c>
      <c r="B94" s="172"/>
      <c r="C94" s="328"/>
      <c r="D94" s="328"/>
      <c r="E94" s="328"/>
      <c r="F94" s="328"/>
      <c r="G94" s="328"/>
      <c r="H94" s="328"/>
      <c r="I94" s="328"/>
      <c r="J94" s="328"/>
      <c r="K94" s="328"/>
      <c r="L94" s="328"/>
      <c r="M94" s="328"/>
    </row>
    <row r="95" spans="1:13" ht="12.75" hidden="1">
      <c r="A95" s="329" t="s">
        <v>349</v>
      </c>
      <c r="B95" s="330">
        <f>+C63</f>
        <v>0.02</v>
      </c>
      <c r="C95" s="331">
        <f>SUM(C96:C101)</f>
        <v>0</v>
      </c>
      <c r="D95" s="331">
        <f>SUM(D96:D101)</f>
        <v>0</v>
      </c>
      <c r="E95" s="331">
        <f>SUM(E96:E101)</f>
        <v>0</v>
      </c>
      <c r="F95" s="331">
        <f aca="true" t="shared" si="36" ref="F95:K95">SUM(F96:F101)</f>
        <v>0</v>
      </c>
      <c r="G95" s="331">
        <f t="shared" si="36"/>
        <v>0</v>
      </c>
      <c r="H95" s="331">
        <f t="shared" si="36"/>
        <v>0</v>
      </c>
      <c r="I95" s="331">
        <f t="shared" si="36"/>
        <v>0</v>
      </c>
      <c r="J95" s="331">
        <f t="shared" si="36"/>
        <v>0</v>
      </c>
      <c r="K95" s="331">
        <f t="shared" si="36"/>
        <v>0</v>
      </c>
      <c r="L95" s="331">
        <f>SUM(L96:L101)</f>
        <v>0</v>
      </c>
      <c r="M95" s="331">
        <f>SUM(M96:M101)</f>
        <v>0</v>
      </c>
    </row>
    <row r="96" spans="1:13" ht="12.75" hidden="1">
      <c r="A96" s="332">
        <f aca="true" t="shared" si="37" ref="A96:A101">A87</f>
        <v>2016</v>
      </c>
      <c r="B96" s="330"/>
      <c r="C96" s="331">
        <f>+IF(C$15&lt;0,0,C$15*$B$95)/12*C75</f>
        <v>0</v>
      </c>
      <c r="D96" s="331">
        <f>+IF(C15=0,0,+IF(ROUNDUP(SUM($C96:C96),0)&lt;$C$15,$C$15*$B$95,0))</f>
        <v>0</v>
      </c>
      <c r="E96" s="467">
        <f>+IF(D96=0,0,+IF(ROUNDUP(SUM($C96:D96),0)&lt;$C$15,$C$15*$B$95,0))</f>
        <v>0</v>
      </c>
      <c r="F96" s="468">
        <f>+IF(E96=0,0,+IF(ROUNDUP(SUM($C96:E96),0)&lt;$C$15,MIN(($C15-SUM($C96:E96)),$C$15*$B$95),0))</f>
        <v>0</v>
      </c>
      <c r="G96" s="468">
        <f>+IF(F96=0,0,+IF(ROUNDUP(SUM($C96:F96),0)&lt;$C$15,MIN(($C15-SUM($C96:F96)),$C$15*$B$95),0))</f>
        <v>0</v>
      </c>
      <c r="H96" s="468">
        <f>+IF(G96=0,0,+IF(ROUNDUP(SUM($C96:G96),0)&lt;$C$15,MIN(($C15-SUM($C96:G96)),$C$15*$B$95),0))</f>
        <v>0</v>
      </c>
      <c r="I96" s="468">
        <f>+IF(H96=0,0,+IF(ROUNDUP(SUM($C96:H96),0)&lt;$C$15,MIN(($C15-SUM($C96:H96)),$C$15*$B$95),0))</f>
        <v>0</v>
      </c>
      <c r="J96" s="468">
        <f>+IF(I96=0,0,+IF(ROUNDUP(SUM($C96:I96),0)&lt;$C$15,MIN(($C15-SUM($C96:I96)),$C$15*$B$95),0))</f>
        <v>0</v>
      </c>
      <c r="K96" s="468">
        <f>+IF(J96=0,0,+IF(ROUNDUP(SUM($C96:J96),0)&lt;$C$15,MIN(($C15-SUM($C96:J96)),$C$15*$B$95),0))</f>
        <v>0</v>
      </c>
      <c r="L96" s="468">
        <f>+IF(K96=0,0,+IF(ROUNDUP(SUM($C96:K96),0)&lt;$C$15,MIN(($C15-SUM($C96:K96)),$C$15*$B$95),0))</f>
        <v>0</v>
      </c>
      <c r="M96" s="468">
        <f>+IF(L96=0,0,+IF(ROUNDUP(SUM($C96:L96),0)&lt;$C$15,MIN(($C15-SUM($C96:L96)),$C$15*$B$95),0))</f>
        <v>0</v>
      </c>
    </row>
    <row r="97" spans="1:13" ht="12.75" hidden="1">
      <c r="A97" s="332">
        <f t="shared" si="37"/>
        <v>2017</v>
      </c>
      <c r="B97" s="330"/>
      <c r="C97" s="331"/>
      <c r="D97" s="331">
        <f>+IF(D$15&lt;0,0,D$15*$B$95)</f>
        <v>0</v>
      </c>
      <c r="E97" s="331">
        <f>+IF(D97=0,0,+IF(ROUNDUP(SUM($D97:D97),0)&lt;$D$15,$D$15*$B$95,0))</f>
        <v>0</v>
      </c>
      <c r="F97" s="331">
        <f>+IF(E97=0,0,+IF(ROUNDUP(SUM($D97:E97),0)&lt;$D$15,$D$15*$B$95,0))</f>
        <v>0</v>
      </c>
      <c r="G97" s="331">
        <f>+IF(F97=0,0,+IF(ROUNDUP(SUM($D97:F97),0)&lt;$D$15,$D$15*$B$95,0))</f>
        <v>0</v>
      </c>
      <c r="H97" s="331">
        <f>+IF(G97=0,0,+IF(ROUNDUP(SUM($D97:G97),0)&lt;$D$15,$D$15*$B$95,0))</f>
        <v>0</v>
      </c>
      <c r="I97" s="331">
        <f>+IF(H97=0,0,+IF(ROUNDUP(SUM($D97:H97),0)&lt;$D$15,$D$15*$B$95,0))</f>
        <v>0</v>
      </c>
      <c r="J97" s="331">
        <f>+IF(I97=0,0,+IF(ROUNDUP(SUM($D97:I97),0)&lt;$D$15,$D$15*$B$95,0))</f>
        <v>0</v>
      </c>
      <c r="K97" s="331">
        <f>+IF(J97=0,0,+IF(ROUNDUP(SUM($D97:J97),0)&lt;$D$15,$D$15*$B$95,0))</f>
        <v>0</v>
      </c>
      <c r="L97" s="331">
        <f>+IF(K97=0,0,+IF(ROUNDUP(SUM($D97:K97),0)&lt;$D$15,$D$15*$B$95,0))</f>
        <v>0</v>
      </c>
      <c r="M97" s="331">
        <f>+IF(L97=0,0,+IF(ROUNDUP(SUM($D97:L97),0)&lt;$D$15,$D$15*$B$95,0))</f>
        <v>0</v>
      </c>
    </row>
    <row r="98" spans="1:13" ht="12.75" hidden="1">
      <c r="A98" s="332">
        <f t="shared" si="37"/>
        <v>2018</v>
      </c>
      <c r="B98" s="330"/>
      <c r="C98" s="331"/>
      <c r="D98" s="331"/>
      <c r="E98" s="331">
        <f>+IF(E$15&lt;0,0,E$15*$B$95)</f>
        <v>0</v>
      </c>
      <c r="F98" s="331">
        <f aca="true" t="shared" si="38" ref="F98:M98">+IF(F$15&lt;0,0,F$15*$B$95)</f>
        <v>0</v>
      </c>
      <c r="G98" s="331">
        <f t="shared" si="38"/>
        <v>0</v>
      </c>
      <c r="H98" s="331">
        <f t="shared" si="38"/>
        <v>0</v>
      </c>
      <c r="I98" s="331">
        <f t="shared" si="38"/>
        <v>0</v>
      </c>
      <c r="J98" s="331">
        <f t="shared" si="38"/>
        <v>0</v>
      </c>
      <c r="K98" s="331">
        <f>+IF(K$15&lt;0,0,K$15*$B$95)</f>
        <v>0</v>
      </c>
      <c r="L98" s="331">
        <f t="shared" si="38"/>
        <v>0</v>
      </c>
      <c r="M98" s="331">
        <f t="shared" si="38"/>
        <v>0</v>
      </c>
    </row>
    <row r="99" spans="1:13" ht="12.75" hidden="1">
      <c r="A99" s="332">
        <f t="shared" si="37"/>
        <v>2019</v>
      </c>
      <c r="B99" s="330"/>
      <c r="C99" s="331"/>
      <c r="D99" s="331"/>
      <c r="E99" s="331"/>
      <c r="F99" s="331"/>
      <c r="G99" s="331"/>
      <c r="H99" s="331"/>
      <c r="I99" s="331"/>
      <c r="J99" s="331"/>
      <c r="K99" s="331"/>
      <c r="L99" s="331"/>
      <c r="M99" s="331"/>
    </row>
    <row r="100" spans="1:13" ht="12.75" hidden="1">
      <c r="A100" s="332">
        <f t="shared" si="37"/>
        <v>2020</v>
      </c>
      <c r="B100" s="330"/>
      <c r="C100" s="331"/>
      <c r="D100" s="331"/>
      <c r="E100" s="331"/>
      <c r="F100" s="331"/>
      <c r="G100" s="331"/>
      <c r="H100" s="331"/>
      <c r="I100" s="331"/>
      <c r="J100" s="331"/>
      <c r="K100" s="331"/>
      <c r="L100" s="331"/>
      <c r="M100" s="331"/>
    </row>
    <row r="101" spans="1:13" ht="12.75" hidden="1">
      <c r="A101" s="332">
        <f t="shared" si="37"/>
        <v>2021</v>
      </c>
      <c r="B101" s="330"/>
      <c r="C101" s="331"/>
      <c r="D101" s="331"/>
      <c r="E101" s="331"/>
      <c r="F101" s="331"/>
      <c r="G101" s="331"/>
      <c r="H101" s="331"/>
      <c r="I101" s="331"/>
      <c r="J101" s="331"/>
      <c r="K101" s="331"/>
      <c r="L101" s="331"/>
      <c r="M101" s="331"/>
    </row>
    <row r="102" spans="1:13" ht="12.75" hidden="1">
      <c r="A102" s="329" t="s">
        <v>356</v>
      </c>
      <c r="B102" s="330">
        <f>+C64</f>
        <v>0.2</v>
      </c>
      <c r="C102" s="331">
        <f>SUM(C103:C108)</f>
        <v>0</v>
      </c>
      <c r="D102" s="331">
        <f>SUM(D103:D108)</f>
        <v>0</v>
      </c>
      <c r="E102" s="331">
        <f>SUM(E103:E108)</f>
        <v>0</v>
      </c>
      <c r="F102" s="331">
        <f aca="true" t="shared" si="39" ref="F102:K102">SUM(F103:F108)</f>
        <v>0</v>
      </c>
      <c r="G102" s="331">
        <f t="shared" si="39"/>
        <v>0</v>
      </c>
      <c r="H102" s="331">
        <f t="shared" si="39"/>
        <v>0</v>
      </c>
      <c r="I102" s="331">
        <f t="shared" si="39"/>
        <v>0</v>
      </c>
      <c r="J102" s="331">
        <f t="shared" si="39"/>
        <v>0</v>
      </c>
      <c r="K102" s="331">
        <f t="shared" si="39"/>
        <v>0</v>
      </c>
      <c r="L102" s="331">
        <f>SUM(L103:L108)</f>
        <v>0</v>
      </c>
      <c r="M102" s="331">
        <f>SUM(M103:M108)</f>
        <v>0</v>
      </c>
    </row>
    <row r="103" spans="1:13" ht="12.75" hidden="1">
      <c r="A103" s="332">
        <f aca="true" t="shared" si="40" ref="A103:A136">A96</f>
        <v>2016</v>
      </c>
      <c r="B103" s="330"/>
      <c r="C103" s="331">
        <f>+IF(C$16&lt;0,0,C$16*$B$102)/12*C75</f>
        <v>0</v>
      </c>
      <c r="D103" s="467">
        <f>+IF(C16=0,0,+IF(ROUNDUP(SUM($C103:C103),0)&lt;$C$16,$C$16*$B$102,0))</f>
        <v>0</v>
      </c>
      <c r="E103" s="331">
        <f>+IF(D103=0,0,+IF(ROUNDUP(SUM($C103:D103),0)&lt;$C$16,$C$16*$B$102,0))</f>
        <v>0</v>
      </c>
      <c r="F103" s="468">
        <f>+IF(E103=0,0,+IF(ROUNDUP(SUM($C103:E103),0)&lt;$C16,MIN(($C16-SUM($C103:E103)),+$C16*$B$102),0))</f>
        <v>0</v>
      </c>
      <c r="G103" s="468">
        <f>+IF(F103=0,0,+IF(ROUNDUP(SUM($C103:F103),0)&lt;$C16,MIN(($C16-SUM($C103:F103)),+$C16*$B$102),0))</f>
        <v>0</v>
      </c>
      <c r="H103" s="468">
        <f>+IF(G103=0,0,+IF(ROUNDUP(SUM($C103:G103),0)&lt;$C16,MIN(($C16-SUM($C103:G103)),+$C16*$B$102),0))</f>
        <v>0</v>
      </c>
      <c r="I103" s="468">
        <f>+IF(H103=0,0,+IF(ROUNDUP(SUM($C103:H103),0)&lt;$C16,MIN(($C16-SUM($C103:H103)),+$C16*$B$102),0))</f>
        <v>0</v>
      </c>
      <c r="J103" s="468">
        <f>+IF(I103=0,0,+IF(ROUNDUP(SUM($C103:I103),0)&lt;$C16,MIN(($C16-SUM($C103:I103)),+$C16*$B$102),0))</f>
        <v>0</v>
      </c>
      <c r="K103" s="468">
        <f>+IF(J103=0,0,+IF(ROUNDUP(SUM($C103:J103),0)&lt;$C16,MIN(($C16-SUM($C103:J103)),+$C16*$B$102),0))</f>
        <v>0</v>
      </c>
      <c r="L103" s="468">
        <f>+IF(K103=0,0,+IF(ROUNDUP(SUM($C103:K103),0)&lt;$C16,MIN(($C16-SUM($C103:K103)),+$C16*$B$102),0))</f>
        <v>0</v>
      </c>
      <c r="M103" s="468">
        <f>+IF(L103=0,0,+IF(ROUNDUP(SUM($C103:L103),0)&lt;$C16,MIN(($C16-SUM($C103:L103)),+$C16*$B$102),0))</f>
        <v>0</v>
      </c>
    </row>
    <row r="104" spans="1:13" ht="12.75" hidden="1">
      <c r="A104" s="332">
        <f t="shared" si="40"/>
        <v>2017</v>
      </c>
      <c r="B104" s="330"/>
      <c r="C104" s="331"/>
      <c r="D104" s="331">
        <f>+IF(D$16&lt;0,0,D$16*$B$102)</f>
        <v>0</v>
      </c>
      <c r="E104" s="331">
        <f>+IF(D104=0,0,+IF(ROUNDUP(SUM($D104:D104),0)&lt;$D$16,$D$16*$B$102,0))</f>
        <v>0</v>
      </c>
      <c r="F104" s="331">
        <f>+IF(E104=0,0,+IF(ROUNDUP(SUM($D104:E104),0)&lt;$D$16,$D$16*$B$102,0))</f>
        <v>0</v>
      </c>
      <c r="G104" s="331">
        <f>+IF(F104=0,0,+IF(ROUNDUP(SUM($D104:F104),0)&lt;$D$16,$D$16*$B$102,0))</f>
        <v>0</v>
      </c>
      <c r="H104" s="331">
        <f>+IF(G104=0,0,+IF(ROUNDUP(SUM($D104:G104),0)&lt;$D$16,$D$16*$B$102,0))</f>
        <v>0</v>
      </c>
      <c r="I104" s="331">
        <f>+IF(H104=0,0,+IF(ROUNDUP(SUM($D104:H104),0)&lt;$D$16,$D$16*$B$102,0))</f>
        <v>0</v>
      </c>
      <c r="J104" s="331">
        <f>+IF(I104=0,0,+IF(ROUNDUP(SUM($D104:I104),0)&lt;$D$16,$D$16*$B$102,0))</f>
        <v>0</v>
      </c>
      <c r="K104" s="331">
        <f>+IF(J104=0,0,+IF(ROUNDUP(SUM($D104:J104),0)&lt;$D$16,$D$16*$B$102,0))</f>
        <v>0</v>
      </c>
      <c r="L104" s="331">
        <f>+IF(K104=0,0,+IF(ROUNDUP(SUM($D104:K104),0)&lt;$D$16,$D$16*$B$102,0))</f>
        <v>0</v>
      </c>
      <c r="M104" s="331">
        <f>+IF(L104=0,0,+IF(ROUNDUP(SUM($D104:L104),0)&lt;$D$16,$D$16*$B$102,0))</f>
        <v>0</v>
      </c>
    </row>
    <row r="105" spans="1:13" ht="12.75" hidden="1">
      <c r="A105" s="332">
        <f t="shared" si="40"/>
        <v>2018</v>
      </c>
      <c r="B105" s="330"/>
      <c r="C105" s="331"/>
      <c r="D105" s="331"/>
      <c r="E105" s="331">
        <f>+IF(E$16&lt;0,0,E$16*$B$102)</f>
        <v>0</v>
      </c>
      <c r="F105" s="331">
        <f aca="true" t="shared" si="41" ref="F105:M105">+IF(F$16&lt;0,0,F$16*$B$102)</f>
        <v>0</v>
      </c>
      <c r="G105" s="331">
        <f t="shared" si="41"/>
        <v>0</v>
      </c>
      <c r="H105" s="331">
        <f t="shared" si="41"/>
        <v>0</v>
      </c>
      <c r="I105" s="331">
        <f t="shared" si="41"/>
        <v>0</v>
      </c>
      <c r="J105" s="331">
        <f t="shared" si="41"/>
        <v>0</v>
      </c>
      <c r="K105" s="331">
        <f>+IF(K$16&lt;0,0,K$16*$B$102)</f>
        <v>0</v>
      </c>
      <c r="L105" s="331">
        <f t="shared" si="41"/>
        <v>0</v>
      </c>
      <c r="M105" s="331">
        <f t="shared" si="41"/>
        <v>0</v>
      </c>
    </row>
    <row r="106" spans="1:13" ht="12.75" hidden="1">
      <c r="A106" s="332">
        <f t="shared" si="40"/>
        <v>2019</v>
      </c>
      <c r="B106" s="330"/>
      <c r="C106" s="331"/>
      <c r="D106" s="331"/>
      <c r="E106" s="331"/>
      <c r="F106" s="331"/>
      <c r="G106" s="331"/>
      <c r="H106" s="331"/>
      <c r="I106" s="331"/>
      <c r="J106" s="331"/>
      <c r="K106" s="331"/>
      <c r="L106" s="331"/>
      <c r="M106" s="331"/>
    </row>
    <row r="107" spans="1:13" ht="12.75" hidden="1">
      <c r="A107" s="332">
        <f t="shared" si="40"/>
        <v>2020</v>
      </c>
      <c r="B107" s="330"/>
      <c r="C107" s="331"/>
      <c r="D107" s="331"/>
      <c r="E107" s="331"/>
      <c r="F107" s="331"/>
      <c r="G107" s="331"/>
      <c r="H107" s="331"/>
      <c r="I107" s="331"/>
      <c r="J107" s="331"/>
      <c r="K107" s="331"/>
      <c r="L107" s="331"/>
      <c r="M107" s="331"/>
    </row>
    <row r="108" spans="1:13" ht="12.75" hidden="1">
      <c r="A108" s="332">
        <f t="shared" si="40"/>
        <v>2021</v>
      </c>
      <c r="B108" s="330"/>
      <c r="C108" s="331"/>
      <c r="D108" s="331"/>
      <c r="E108" s="331"/>
      <c r="F108" s="331"/>
      <c r="G108" s="331"/>
      <c r="H108" s="331"/>
      <c r="I108" s="331"/>
      <c r="J108" s="331"/>
      <c r="K108" s="331"/>
      <c r="L108" s="331"/>
      <c r="M108" s="331"/>
    </row>
    <row r="109" spans="1:13" ht="12.75" hidden="1">
      <c r="A109" s="329" t="s">
        <v>357</v>
      </c>
      <c r="B109" s="330">
        <f>+C65</f>
        <v>0.25</v>
      </c>
      <c r="C109" s="333">
        <f>SUM(C110:C115)</f>
        <v>0</v>
      </c>
      <c r="D109" s="331">
        <f>SUM(D110:D115)</f>
        <v>0</v>
      </c>
      <c r="E109" s="331">
        <f>SUM(E110:E115)</f>
        <v>0</v>
      </c>
      <c r="F109" s="331">
        <f aca="true" t="shared" si="42" ref="F109:K109">SUM(F110:F115)</f>
        <v>0</v>
      </c>
      <c r="G109" s="331">
        <f t="shared" si="42"/>
        <v>0</v>
      </c>
      <c r="H109" s="331">
        <f t="shared" si="42"/>
        <v>0</v>
      </c>
      <c r="I109" s="331">
        <f t="shared" si="42"/>
        <v>0</v>
      </c>
      <c r="J109" s="331">
        <f t="shared" si="42"/>
        <v>0</v>
      </c>
      <c r="K109" s="331">
        <f t="shared" si="42"/>
        <v>0</v>
      </c>
      <c r="L109" s="331">
        <f>SUM(L110:L115)</f>
        <v>0</v>
      </c>
      <c r="M109" s="331">
        <f>SUM(M110:M115)</f>
        <v>0</v>
      </c>
    </row>
    <row r="110" spans="1:13" ht="12.75" hidden="1">
      <c r="A110" s="332">
        <f t="shared" si="40"/>
        <v>2016</v>
      </c>
      <c r="B110" s="330"/>
      <c r="C110" s="331">
        <f>+IF(C$17&lt;0,0,C$17*$B$109)/12*C75</f>
        <v>0</v>
      </c>
      <c r="D110" s="331">
        <f>+IF(C17=0,0,+IF(ROUNDUP(SUM($C110:C110),0)&lt;$C$17,$C$17*$B$109,0))</f>
        <v>0</v>
      </c>
      <c r="E110" s="331">
        <f>+IF(D110=0,0,+IF(ROUNDUP(SUM($C110:D110),0)&lt;$C$17,$C$17*$B$109,0))</f>
        <v>0</v>
      </c>
      <c r="F110" s="470">
        <f>+IF(E110=0,0,+IF(ROUNDUP(SUM($C110:E110),0)&lt;$C17,MIN(($C17-SUM($C110:E110)),+$C17*$B$109),0))</f>
        <v>0</v>
      </c>
      <c r="G110" s="470">
        <f>+IF(F110=0,0,+IF(ROUNDUP(SUM($C110:F110),0)&lt;$C17,MIN(($C17-SUM($C110:F110)),+$C17*$B$109),0))</f>
        <v>0</v>
      </c>
      <c r="H110" s="470">
        <f>+IF(G110=0,0,+IF(ROUNDUP(SUM($C110:G110),0)&lt;$C17,MIN(($C17-SUM($C110:G110)),+$C17*$B$109),0))</f>
        <v>0</v>
      </c>
      <c r="I110" s="470">
        <f>+IF(H110=0,0,+IF(ROUNDUP(SUM($C110:H110),0)&lt;$C17,MIN(($C17-SUM($C110:H110)),+$C17*$B$109),0))</f>
        <v>0</v>
      </c>
      <c r="J110" s="470">
        <f>+IF(I110=0,0,+IF(ROUNDUP(SUM($C110:I110),0)&lt;$C17,MIN(($C17-SUM($C110:I110)),+$C17*$B$109),0))</f>
        <v>0</v>
      </c>
      <c r="K110" s="470">
        <f>+IF(J110=0,0,+IF(ROUNDUP(SUM($C110:J110),0)&lt;$C17,MIN(($C17-SUM($C110:J110)),+$C17*$B$109),0))</f>
        <v>0</v>
      </c>
      <c r="L110" s="470">
        <f>+IF(K110=0,0,+IF(ROUNDUP(SUM($C110:K110),0)&lt;$C17,MIN(($C17-SUM($C110:K110)),+$C17*$B$109),0))</f>
        <v>0</v>
      </c>
      <c r="M110" s="470">
        <f>+IF(L110=0,0,+IF(ROUNDUP(SUM($C110:L110),0)&lt;$C17,MIN(($C17-SUM($C110:L110)),+$C17*$B$109),0))</f>
        <v>0</v>
      </c>
    </row>
    <row r="111" spans="1:13" ht="12.75" hidden="1">
      <c r="A111" s="332">
        <f t="shared" si="40"/>
        <v>2017</v>
      </c>
      <c r="B111" s="330"/>
      <c r="C111" s="331"/>
      <c r="D111" s="331">
        <f>+IF(D$17&lt;0,0,D$17*$B$109)</f>
        <v>0</v>
      </c>
      <c r="E111" s="331">
        <f>+IF(D111=0,0,+IF(ROUNDUP(SUM($D111:D111),0)&lt;$D$17,$D$17*$B$109,0))</f>
        <v>0</v>
      </c>
      <c r="F111" s="331">
        <f>+IF(E111=0,0,+IF(ROUNDUP(SUM($D111:E111),0)&lt;$D$17,$D$17*$B$109,0))</f>
        <v>0</v>
      </c>
      <c r="G111" s="331">
        <f>+IF(F111=0,0,+IF(ROUNDUP(SUM($D111:F111),0)&lt;$D$17,$D$17*$B$109,0))</f>
        <v>0</v>
      </c>
      <c r="H111" s="331">
        <f>+IF(G111=0,0,+IF(ROUNDUP(SUM($D111:G111),0)&lt;$D$17,$D$17*$B$109,0))</f>
        <v>0</v>
      </c>
      <c r="I111" s="331">
        <f>+IF(H111=0,0,+IF(ROUNDUP(SUM($D111:H111),0)&lt;$D$17,$D$17*$B$109,0))</f>
        <v>0</v>
      </c>
      <c r="J111" s="331">
        <f>+IF(I111=0,0,+IF(ROUNDUP(SUM($D111:I111),0)&lt;$D$17,$D$17*$B$109,0))</f>
        <v>0</v>
      </c>
      <c r="K111" s="331">
        <f>+IF(J111=0,0,+IF(ROUNDUP(SUM($D111:J111),0)&lt;$D$17,$D$17*$B$109,0))</f>
        <v>0</v>
      </c>
      <c r="L111" s="331">
        <f>+IF(K111=0,0,+IF(ROUNDUP(SUM($D111:K111),0)&lt;$D$17,$D$17*$B$109,0))</f>
        <v>0</v>
      </c>
      <c r="M111" s="331">
        <f>+IF(L111=0,0,+IF(ROUNDUP(SUM($D111:L111),0)&lt;$D$17,$D$17*$B$109,0))</f>
        <v>0</v>
      </c>
    </row>
    <row r="112" spans="1:13" ht="12.75" hidden="1">
      <c r="A112" s="332">
        <f t="shared" si="40"/>
        <v>2018</v>
      </c>
      <c r="B112" s="330"/>
      <c r="C112" s="331"/>
      <c r="D112" s="331"/>
      <c r="E112" s="331">
        <f>+IF(E$17&lt;0,0,E$17*$B$109)</f>
        <v>0</v>
      </c>
      <c r="F112" s="331">
        <f aca="true" t="shared" si="43" ref="F112:M112">+IF(F$17&lt;0,0,F$17*$B$109)</f>
        <v>0</v>
      </c>
      <c r="G112" s="331">
        <f t="shared" si="43"/>
        <v>0</v>
      </c>
      <c r="H112" s="331">
        <f t="shared" si="43"/>
        <v>0</v>
      </c>
      <c r="I112" s="331">
        <f t="shared" si="43"/>
        <v>0</v>
      </c>
      <c r="J112" s="331">
        <f t="shared" si="43"/>
        <v>0</v>
      </c>
      <c r="K112" s="331">
        <f>+IF(K$17&lt;0,0,K$17*$B$109)</f>
        <v>0</v>
      </c>
      <c r="L112" s="331">
        <f t="shared" si="43"/>
        <v>0</v>
      </c>
      <c r="M112" s="331">
        <f t="shared" si="43"/>
        <v>0</v>
      </c>
    </row>
    <row r="113" spans="1:13" ht="12.75" hidden="1">
      <c r="A113" s="332">
        <f t="shared" si="40"/>
        <v>2019</v>
      </c>
      <c r="B113" s="330"/>
      <c r="C113" s="331"/>
      <c r="D113" s="331"/>
      <c r="E113" s="331"/>
      <c r="F113" s="331"/>
      <c r="G113" s="331"/>
      <c r="H113" s="331"/>
      <c r="I113" s="331"/>
      <c r="J113" s="331"/>
      <c r="K113" s="331"/>
      <c r="L113" s="331"/>
      <c r="M113" s="331"/>
    </row>
    <row r="114" spans="1:13" ht="12.75" hidden="1">
      <c r="A114" s="332">
        <f t="shared" si="40"/>
        <v>2020</v>
      </c>
      <c r="B114" s="330"/>
      <c r="C114" s="331"/>
      <c r="D114" s="331"/>
      <c r="E114" s="331"/>
      <c r="F114" s="331"/>
      <c r="G114" s="331"/>
      <c r="H114" s="331"/>
      <c r="I114" s="331"/>
      <c r="J114" s="331"/>
      <c r="K114" s="331"/>
      <c r="L114" s="331"/>
      <c r="M114" s="331"/>
    </row>
    <row r="115" spans="1:13" ht="12.75" hidden="1">
      <c r="A115" s="332">
        <f t="shared" si="40"/>
        <v>2021</v>
      </c>
      <c r="B115" s="334"/>
      <c r="C115" s="331"/>
      <c r="D115" s="331"/>
      <c r="E115" s="331"/>
      <c r="F115" s="331"/>
      <c r="G115" s="331"/>
      <c r="H115" s="331"/>
      <c r="I115" s="331"/>
      <c r="J115" s="331"/>
      <c r="K115" s="331"/>
      <c r="L115" s="331"/>
      <c r="M115" s="331"/>
    </row>
    <row r="116" spans="1:13" ht="12.75" hidden="1">
      <c r="A116" s="329" t="s">
        <v>358</v>
      </c>
      <c r="B116" s="330">
        <f>+C66</f>
        <v>0.25</v>
      </c>
      <c r="C116" s="333">
        <f>SUM(C117:C122)</f>
        <v>0</v>
      </c>
      <c r="D116" s="331">
        <f>SUM(D117:D122)</f>
        <v>0</v>
      </c>
      <c r="E116" s="331">
        <f>SUM(E117:E122)</f>
        <v>0</v>
      </c>
      <c r="F116" s="331">
        <f aca="true" t="shared" si="44" ref="F116:K116">SUM(F117:F122)</f>
        <v>0</v>
      </c>
      <c r="G116" s="331">
        <f t="shared" si="44"/>
        <v>0</v>
      </c>
      <c r="H116" s="331">
        <f t="shared" si="44"/>
        <v>0</v>
      </c>
      <c r="I116" s="331">
        <f t="shared" si="44"/>
        <v>0</v>
      </c>
      <c r="J116" s="331">
        <f t="shared" si="44"/>
        <v>0</v>
      </c>
      <c r="K116" s="331">
        <f t="shared" si="44"/>
        <v>0</v>
      </c>
      <c r="L116" s="331">
        <f>SUM(L117:L122)</f>
        <v>0</v>
      </c>
      <c r="M116" s="331">
        <f>SUM(M117:M122)</f>
        <v>0</v>
      </c>
    </row>
    <row r="117" spans="1:13" ht="12.75" hidden="1">
      <c r="A117" s="332">
        <f t="shared" si="40"/>
        <v>2016</v>
      </c>
      <c r="B117" s="330"/>
      <c r="C117" s="331">
        <f>+IF(C$18&lt;0,0,C$18*$B$116)/12*C75</f>
        <v>0</v>
      </c>
      <c r="D117" s="331">
        <f>+IF(C18=0,0,+IF(ROUNDUP(SUM($C117:C117),0)&lt;$C$18,$C$18*$B$116,0))</f>
        <v>0</v>
      </c>
      <c r="E117" s="331">
        <f>+IF(D117=0,0,+IF(ROUNDUP(SUM($C117:D117),0)&lt;$C$18,$C$18*$B$116,0))</f>
        <v>0</v>
      </c>
      <c r="F117" s="470">
        <f>+IF(E117=0,0,+IF(ROUNDUP(SUM($C117:E117),0)&lt;$C18,MIN(($C18-SUM($C117:E117)),+$C18*$B$116),0))</f>
        <v>0</v>
      </c>
      <c r="G117" s="470">
        <f>+IF(F117=0,0,+IF(ROUNDUP(SUM($C117:F117),0)&lt;$C18,MIN(($C18-SUM($C117:F117)),+$C18*$B$116),0))</f>
        <v>0</v>
      </c>
      <c r="H117" s="470">
        <f>+IF(G117=0,0,+IF(ROUNDUP(SUM($C117:G117),0)&lt;$C18,MIN(($C18-SUM($C117:G117)),+$C18*$B$116),0))</f>
        <v>0</v>
      </c>
      <c r="I117" s="470">
        <f>+IF(H117=0,0,+IF(ROUNDUP(SUM($C117:H117),0)&lt;$C18,MIN(($C18-SUM($C117:H117)),+$C18*$B$116),0))</f>
        <v>0</v>
      </c>
      <c r="J117" s="470">
        <f>+IF(I117=0,0,+IF(ROUNDUP(SUM($C117:I117),0)&lt;$C18,MIN(($C18-SUM($C117:I117)),+$C18*$B$116),0))</f>
        <v>0</v>
      </c>
      <c r="K117" s="470">
        <f>+IF(J117=0,0,+IF(ROUNDUP(SUM($C117:J117),0)&lt;$C18,MIN(($C18-SUM($C117:J117)),+$C18*$B$116),0))</f>
        <v>0</v>
      </c>
      <c r="L117" s="470">
        <f>+IF(K117=0,0,+IF(ROUNDUP(SUM($C117:K117),0)&lt;$C18,MIN(($C18-SUM($C117:K117)),+$C18*$B$116),0))</f>
        <v>0</v>
      </c>
      <c r="M117" s="470">
        <f>+IF(L117=0,0,+IF(ROUNDUP(SUM($C117:L117),0)&lt;$C18,MIN(($C18-SUM($C117:L117)),+$C18*$B$116),0))</f>
        <v>0</v>
      </c>
    </row>
    <row r="118" spans="1:13" ht="12.75" hidden="1">
      <c r="A118" s="332">
        <f t="shared" si="40"/>
        <v>2017</v>
      </c>
      <c r="B118" s="330"/>
      <c r="C118" s="331"/>
      <c r="D118" s="331">
        <f>+IF(D$18&lt;0,0,D$18*$B$116)</f>
        <v>0</v>
      </c>
      <c r="E118" s="331">
        <f>+IF(D118=0,0,+IF(ROUNDUP(SUM($D118:D118),0)&lt;$D$18,$D$18*$B$116,0))</f>
        <v>0</v>
      </c>
      <c r="F118" s="331">
        <f>+IF(E118=0,0,+IF(ROUNDUP(SUM($D118:E118),0)&lt;$D$18,$D$18*$B$116,0))</f>
        <v>0</v>
      </c>
      <c r="G118" s="331">
        <f>+IF(F118=0,0,+IF(ROUNDUP(SUM($D118:F118),0)&lt;$D$18,$D$18*$B$116,0))</f>
        <v>0</v>
      </c>
      <c r="H118" s="331">
        <f>+IF(G118=0,0,+IF(ROUNDUP(SUM($D118:G118),0)&lt;$D$18,$D$18*$B$116,0))</f>
        <v>0</v>
      </c>
      <c r="I118" s="331">
        <f>+IF(H118=0,0,+IF(ROUNDUP(SUM($D118:H118),0)&lt;$D$18,$D$18*$B$116,0))</f>
        <v>0</v>
      </c>
      <c r="J118" s="331">
        <f>+IF(I118=0,0,+IF(ROUNDUP(SUM($D118:I118),0)&lt;$D$18,$D$18*$B$116,0))</f>
        <v>0</v>
      </c>
      <c r="K118" s="331">
        <f>+IF(J118=0,0,+IF(ROUNDUP(SUM($D118:J118),0)&lt;$D$18,$D$18*$B$116,0))</f>
        <v>0</v>
      </c>
      <c r="L118" s="331">
        <f>+IF(K118=0,0,+IF(ROUNDUP(SUM($D118:K118),0)&lt;$D$18,$D$18*$B$116,0))</f>
        <v>0</v>
      </c>
      <c r="M118" s="331">
        <f>+IF(L118=0,0,+IF(ROUNDUP(SUM($D118:L118),0)&lt;$D$18,$D$18*$B$116,0))</f>
        <v>0</v>
      </c>
    </row>
    <row r="119" spans="1:13" ht="12.75" hidden="1">
      <c r="A119" s="332">
        <f t="shared" si="40"/>
        <v>2018</v>
      </c>
      <c r="B119" s="330"/>
      <c r="C119" s="331"/>
      <c r="D119" s="331"/>
      <c r="E119" s="331">
        <f>+IF(E$18&lt;0,0,E$18*$B$116)</f>
        <v>0</v>
      </c>
      <c r="F119" s="331">
        <f aca="true" t="shared" si="45" ref="F119:M119">+IF(F$18&lt;0,0,F$18*$B$116)</f>
        <v>0</v>
      </c>
      <c r="G119" s="331">
        <f t="shared" si="45"/>
        <v>0</v>
      </c>
      <c r="H119" s="331">
        <f t="shared" si="45"/>
        <v>0</v>
      </c>
      <c r="I119" s="331">
        <f t="shared" si="45"/>
        <v>0</v>
      </c>
      <c r="J119" s="331">
        <f t="shared" si="45"/>
        <v>0</v>
      </c>
      <c r="K119" s="331">
        <f>+IF(K$18&lt;0,0,K$18*$B$116)</f>
        <v>0</v>
      </c>
      <c r="L119" s="331">
        <f t="shared" si="45"/>
        <v>0</v>
      </c>
      <c r="M119" s="331">
        <f t="shared" si="45"/>
        <v>0</v>
      </c>
    </row>
    <row r="120" spans="1:13" ht="12.75" hidden="1">
      <c r="A120" s="332">
        <f t="shared" si="40"/>
        <v>2019</v>
      </c>
      <c r="B120" s="330"/>
      <c r="C120" s="331"/>
      <c r="D120" s="331"/>
      <c r="E120" s="331"/>
      <c r="F120" s="331"/>
      <c r="G120" s="331"/>
      <c r="H120" s="331"/>
      <c r="I120" s="331"/>
      <c r="J120" s="331"/>
      <c r="K120" s="331"/>
      <c r="L120" s="331"/>
      <c r="M120" s="331"/>
    </row>
    <row r="121" spans="1:13" ht="12.75" hidden="1">
      <c r="A121" s="332">
        <f t="shared" si="40"/>
        <v>2020</v>
      </c>
      <c r="B121" s="330"/>
      <c r="C121" s="331"/>
      <c r="D121" s="331"/>
      <c r="E121" s="331"/>
      <c r="F121" s="331"/>
      <c r="G121" s="331"/>
      <c r="H121" s="331"/>
      <c r="I121" s="331"/>
      <c r="J121" s="331"/>
      <c r="K121" s="331"/>
      <c r="L121" s="331"/>
      <c r="M121" s="331"/>
    </row>
    <row r="122" spans="1:13" ht="12.75" hidden="1">
      <c r="A122" s="332">
        <f t="shared" si="40"/>
        <v>2021</v>
      </c>
      <c r="B122" s="334"/>
      <c r="C122" s="331"/>
      <c r="D122" s="331"/>
      <c r="E122" s="331"/>
      <c r="F122" s="331"/>
      <c r="G122" s="331"/>
      <c r="H122" s="331"/>
      <c r="I122" s="331"/>
      <c r="J122" s="331"/>
      <c r="K122" s="331"/>
      <c r="L122" s="331"/>
      <c r="M122" s="331"/>
    </row>
    <row r="123" spans="1:13" ht="12.75" hidden="1">
      <c r="A123" s="329" t="s">
        <v>359</v>
      </c>
      <c r="B123" s="330">
        <f>+C67</f>
        <v>0.25</v>
      </c>
      <c r="C123" s="333">
        <f>SUM(C124:C129)</f>
        <v>0</v>
      </c>
      <c r="D123" s="331">
        <f>SUM(D124:D129)</f>
        <v>0</v>
      </c>
      <c r="E123" s="331">
        <f>SUM(E124:E129)</f>
        <v>0</v>
      </c>
      <c r="F123" s="331">
        <f aca="true" t="shared" si="46" ref="F123:K123">SUM(F124:F129)</f>
        <v>0</v>
      </c>
      <c r="G123" s="331">
        <f t="shared" si="46"/>
        <v>0</v>
      </c>
      <c r="H123" s="331">
        <f t="shared" si="46"/>
        <v>0</v>
      </c>
      <c r="I123" s="331">
        <f t="shared" si="46"/>
        <v>0</v>
      </c>
      <c r="J123" s="331">
        <f t="shared" si="46"/>
        <v>0</v>
      </c>
      <c r="K123" s="331">
        <f t="shared" si="46"/>
        <v>0</v>
      </c>
      <c r="L123" s="331">
        <f>SUM(L124:L129)</f>
        <v>0</v>
      </c>
      <c r="M123" s="331">
        <f>SUM(M124:M129)</f>
        <v>0</v>
      </c>
    </row>
    <row r="124" spans="1:13" ht="12.75" hidden="1">
      <c r="A124" s="332">
        <f t="shared" si="40"/>
        <v>2016</v>
      </c>
      <c r="B124" s="330"/>
      <c r="C124" s="331">
        <f>+IF(C$19&lt;0,0,C$19*$B$123)/12*C75</f>
        <v>0</v>
      </c>
      <c r="D124" s="331">
        <f>+IF(C124=0,0,+IF(ROUNDUP(SUM($C124:C124),0)&lt;$C$19,$C$19*$B$123,0))</f>
        <v>0</v>
      </c>
      <c r="E124" s="331">
        <f>+IF(D124=0,0,+IF(ROUNDUP(SUM($C124:D124),0)&lt;$C$19,$C$19*$B$123,0))</f>
        <v>0</v>
      </c>
      <c r="F124" s="470">
        <f>+IF(E124=0,0,+IF(ROUNDUP(SUM($C124:E124),0)&lt;$C18,MIN(($C18-SUM($C124:E124)),+$C18*$B$123),0))</f>
        <v>0</v>
      </c>
      <c r="G124" s="470">
        <f>+IF(F124=0,0,+IF(ROUNDUP(SUM($C124:F124),0)&lt;$C18,MIN(($C18-SUM($C124:F124)),+$C18*$B$123),0))</f>
        <v>0</v>
      </c>
      <c r="H124" s="470">
        <f>+IF(G124=0,0,+IF(ROUNDUP(SUM($C124:G124),0)&lt;$C18,MIN(($C18-SUM($C124:G124)),+$C18*$B$123),0))</f>
        <v>0</v>
      </c>
      <c r="I124" s="470">
        <f>+IF(H124=0,0,+IF(ROUNDUP(SUM($C124:H124),0)&lt;$C18,MIN(($C18-SUM($C124:H124)),+$C18*$B$123),0))</f>
        <v>0</v>
      </c>
      <c r="J124" s="470">
        <f>+IF(I124=0,0,+IF(ROUNDUP(SUM($C124:I124),0)&lt;$C18,MIN(($C18-SUM($C124:I124)),+$C18*$B$123),0))</f>
        <v>0</v>
      </c>
      <c r="K124" s="470">
        <f>+IF(J124=0,0,+IF(ROUNDUP(SUM($C124:J124),0)&lt;$C18,MIN(($C18-SUM($C124:J124)),+$C18*$B$123),0))</f>
        <v>0</v>
      </c>
      <c r="L124" s="470">
        <f>+IF(K124=0,0,+IF(ROUNDUP(SUM($C124:K124),0)&lt;$C18,MIN(($C18-SUM($C124:K124)),+$C18*$B$123),0))</f>
        <v>0</v>
      </c>
      <c r="M124" s="470">
        <f>+IF(L124=0,0,+IF(ROUNDUP(SUM($C124:L124),0)&lt;$C18,MIN(($C18-SUM($C124:L124)),+$C18*$B$123),0))</f>
        <v>0</v>
      </c>
    </row>
    <row r="125" spans="1:13" ht="12.75" hidden="1">
      <c r="A125" s="332">
        <f t="shared" si="40"/>
        <v>2017</v>
      </c>
      <c r="B125" s="330"/>
      <c r="C125" s="331"/>
      <c r="D125" s="331">
        <f>+IF(D$19&lt;0,0,D$19*$B$123)</f>
        <v>0</v>
      </c>
      <c r="E125" s="331">
        <f>+IF(D125=0,0,+IF(ROUNDUP(SUM($D125:D125),0)&lt;$D$19,$D$19*$B$123,0))</f>
        <v>0</v>
      </c>
      <c r="F125" s="331">
        <f>+IF(E125=0,0,+IF(ROUNDUP(SUM($D125:E125),0)&lt;$D$19,$D$19*$B$123,0))</f>
        <v>0</v>
      </c>
      <c r="G125" s="331">
        <f>+IF(F125=0,0,+IF(ROUNDUP(SUM($D125:F125),0)&lt;$D$19,$D$19*$B$123,0))</f>
        <v>0</v>
      </c>
      <c r="H125" s="331">
        <f>+IF(G125=0,0,+IF(ROUNDUP(SUM($D125:G125),0)&lt;$D$19,$D$19*$B$123,0))</f>
        <v>0</v>
      </c>
      <c r="I125" s="331">
        <f>+IF(H125=0,0,+IF(ROUNDUP(SUM($D125:H125),0)&lt;$D$19,$D$19*$B$123,0))</f>
        <v>0</v>
      </c>
      <c r="J125" s="331">
        <f>+IF(I125=0,0,+IF(ROUNDUP(SUM($D125:I125),0)&lt;$D$19,$D$19*$B$123,0))</f>
        <v>0</v>
      </c>
      <c r="K125" s="331">
        <f>+IF(J125=0,0,+IF(ROUNDUP(SUM($D125:J125),0)&lt;$D$19,$D$19*$B$123,0))</f>
        <v>0</v>
      </c>
      <c r="L125" s="331">
        <f>+IF(K125=0,0,+IF(ROUNDUP(SUM($D125:K125),0)&lt;$D$19,$D$19*$B$123,0))</f>
        <v>0</v>
      </c>
      <c r="M125" s="331">
        <f>+IF(L125=0,0,+IF(ROUNDUP(SUM($D125:L125),0)&lt;$D$19,$D$19*$B$123,0))</f>
        <v>0</v>
      </c>
    </row>
    <row r="126" spans="1:13" ht="12.75" hidden="1">
      <c r="A126" s="332">
        <f t="shared" si="40"/>
        <v>2018</v>
      </c>
      <c r="B126" s="330"/>
      <c r="C126" s="331"/>
      <c r="D126" s="331"/>
      <c r="E126" s="331">
        <f>+IF(E$19&lt;0,0,E$19*$B$123)</f>
        <v>0</v>
      </c>
      <c r="F126" s="331">
        <f aca="true" t="shared" si="47" ref="F126:M126">+IF(F$19&lt;0,0,F$19*$B$123)</f>
        <v>0</v>
      </c>
      <c r="G126" s="331">
        <f t="shared" si="47"/>
        <v>0</v>
      </c>
      <c r="H126" s="331">
        <f t="shared" si="47"/>
        <v>0</v>
      </c>
      <c r="I126" s="331">
        <f t="shared" si="47"/>
        <v>0</v>
      </c>
      <c r="J126" s="331">
        <f t="shared" si="47"/>
        <v>0</v>
      </c>
      <c r="K126" s="331">
        <f>+IF(K$19&lt;0,0,K$19*$B$123)</f>
        <v>0</v>
      </c>
      <c r="L126" s="331">
        <f t="shared" si="47"/>
        <v>0</v>
      </c>
      <c r="M126" s="331">
        <f t="shared" si="47"/>
        <v>0</v>
      </c>
    </row>
    <row r="127" spans="1:13" ht="12.75" hidden="1">
      <c r="A127" s="332">
        <f t="shared" si="40"/>
        <v>2019</v>
      </c>
      <c r="B127" s="330"/>
      <c r="C127" s="331"/>
      <c r="D127" s="331"/>
      <c r="E127" s="331"/>
      <c r="F127" s="331"/>
      <c r="G127" s="331"/>
      <c r="H127" s="331"/>
      <c r="I127" s="331"/>
      <c r="J127" s="331"/>
      <c r="K127" s="331"/>
      <c r="L127" s="331"/>
      <c r="M127" s="331"/>
    </row>
    <row r="128" spans="1:13" ht="12.75" hidden="1">
      <c r="A128" s="332">
        <f t="shared" si="40"/>
        <v>2020</v>
      </c>
      <c r="B128" s="330"/>
      <c r="C128" s="331"/>
      <c r="D128" s="331"/>
      <c r="E128" s="331"/>
      <c r="F128" s="331"/>
      <c r="G128" s="331"/>
      <c r="H128" s="331"/>
      <c r="I128" s="331"/>
      <c r="J128" s="331"/>
      <c r="K128" s="331"/>
      <c r="L128" s="331"/>
      <c r="M128" s="331"/>
    </row>
    <row r="129" spans="1:13" ht="12.75" hidden="1">
      <c r="A129" s="332">
        <f t="shared" si="40"/>
        <v>2021</v>
      </c>
      <c r="B129" s="334"/>
      <c r="C129" s="331"/>
      <c r="D129" s="331"/>
      <c r="E129" s="331"/>
      <c r="F129" s="331"/>
      <c r="G129" s="331"/>
      <c r="H129" s="331"/>
      <c r="I129" s="331"/>
      <c r="J129" s="331"/>
      <c r="K129" s="331"/>
      <c r="L129" s="331"/>
      <c r="M129" s="331"/>
    </row>
    <row r="130" spans="1:13" ht="12.75" hidden="1">
      <c r="A130" s="329" t="s">
        <v>355</v>
      </c>
      <c r="B130" s="330">
        <f>+C68</f>
        <v>0.25</v>
      </c>
      <c r="C130" s="333">
        <f>SUM(C131:C136)</f>
        <v>0</v>
      </c>
      <c r="D130" s="331">
        <f>SUM(D131:D136)</f>
        <v>0</v>
      </c>
      <c r="E130" s="331">
        <f>SUM(E131:E136)</f>
        <v>0</v>
      </c>
      <c r="F130" s="331">
        <f aca="true" t="shared" si="48" ref="F130:K130">SUM(F131:F136)</f>
        <v>0</v>
      </c>
      <c r="G130" s="331">
        <f t="shared" si="48"/>
        <v>0</v>
      </c>
      <c r="H130" s="331">
        <f t="shared" si="48"/>
        <v>0</v>
      </c>
      <c r="I130" s="331">
        <f t="shared" si="48"/>
        <v>0</v>
      </c>
      <c r="J130" s="331">
        <f t="shared" si="48"/>
        <v>0</v>
      </c>
      <c r="K130" s="331">
        <f t="shared" si="48"/>
        <v>0</v>
      </c>
      <c r="L130" s="331">
        <f>SUM(L131:L136)</f>
        <v>0</v>
      </c>
      <c r="M130" s="331">
        <f>SUM(M131:M136)</f>
        <v>0</v>
      </c>
    </row>
    <row r="131" spans="1:13" ht="12.75" hidden="1">
      <c r="A131" s="332">
        <f t="shared" si="40"/>
        <v>2016</v>
      </c>
      <c r="B131" s="330"/>
      <c r="C131" s="331">
        <f>+IF(C$20&lt;0,0,C$20*$B$130)/12*C75</f>
        <v>0</v>
      </c>
      <c r="D131" s="331">
        <f>+IF(C20=0,0,+IF(ROUNDUP(SUM($C131:C131),0)&lt;$C$20,$C$20*$B$130,0))</f>
        <v>0</v>
      </c>
      <c r="E131" s="331">
        <f>+IF(D131=0,0,+IF(ROUNDUP(SUM($C131:D131),0)&lt;$C$20,$C$20*$B$130,0))</f>
        <v>0</v>
      </c>
      <c r="F131" s="470">
        <f>+IF(E131=0,0,+IF(ROUNDUP(SUM($C131:E131),0)&lt;$C20,MIN(($C20-SUM($C131:E131)),+$C20*$B$130),0))</f>
        <v>0</v>
      </c>
      <c r="G131" s="470">
        <f>+IF(F131=0,0,+IF(ROUNDUP(SUM($C131:F131),0)&lt;$C20,MIN(($C20-SUM($C131:F131)),+$C20*$B$130),0))</f>
        <v>0</v>
      </c>
      <c r="H131" s="470">
        <f>+IF(G131=0,0,+IF(ROUNDUP(SUM($C131:G131),0)&lt;$C20,MIN(($C20-SUM($C131:G131)),+$C20*$B$130),0))</f>
        <v>0</v>
      </c>
      <c r="I131" s="470">
        <f>+IF(H131=0,0,+IF(ROUNDUP(SUM($C131:H131),0)&lt;$C20,MIN(($C20-SUM($C131:H131)),+$C20*$B$130),0))</f>
        <v>0</v>
      </c>
      <c r="J131" s="470">
        <f>+IF(I131=0,0,+IF(ROUNDUP(SUM($C131:I131),0)&lt;$C20,MIN(($C20-SUM($C131:I131)),+$C20*$B$130),0))</f>
        <v>0</v>
      </c>
      <c r="K131" s="470">
        <f>+IF(J131=0,0,+IF(ROUNDUP(SUM($C131:J131),0)&lt;$C20,MIN(($C20-SUM($C131:J131)),+$C20*$B$130),0))</f>
        <v>0</v>
      </c>
      <c r="L131" s="470">
        <f>+IF(K131=0,0,+IF(ROUNDUP(SUM($C131:K131),0)&lt;$C20,MIN(($C20-SUM($C131:K131)),+$C20*$B$130),0))</f>
        <v>0</v>
      </c>
      <c r="M131" s="470">
        <f>+IF(L131=0,0,+IF(ROUNDUP(SUM($C131:L131),0)&lt;$C20,MIN(($C20-SUM($C131:L131)),+$C20*$B$130),0))</f>
        <v>0</v>
      </c>
    </row>
    <row r="132" spans="1:13" ht="12.75" hidden="1">
      <c r="A132" s="332">
        <f t="shared" si="40"/>
        <v>2017</v>
      </c>
      <c r="B132" s="330"/>
      <c r="C132" s="331"/>
      <c r="D132" s="331">
        <f>+IF(D$20&lt;0,0,D$20*$B$130)</f>
        <v>0</v>
      </c>
      <c r="E132" s="331">
        <f>+IF(D132=0,0,+IF(ROUNDUP(SUM($D132:D132),0)&lt;$D$20,$D$20*$B$130,0))</f>
        <v>0</v>
      </c>
      <c r="F132" s="331">
        <f>+IF(E132=0,0,+IF(ROUNDUP(SUM($D132:E132),0)&lt;$D$20,$D$20*$B$130,0))</f>
        <v>0</v>
      </c>
      <c r="G132" s="331">
        <f>+IF(F132=0,0,+IF(ROUNDUP(SUM($D132:F132),0)&lt;$D$20,$D$20*$B$130,0))</f>
        <v>0</v>
      </c>
      <c r="H132" s="331">
        <f>+IF(G132=0,0,+IF(ROUNDUP(SUM($D132:G132),0)&lt;$D$20,$D$20*$B$130,0))</f>
        <v>0</v>
      </c>
      <c r="I132" s="331">
        <f>+IF(H132=0,0,+IF(ROUNDUP(SUM($D132:H132),0)&lt;$D$20,$D$20*$B$130,0))</f>
        <v>0</v>
      </c>
      <c r="J132" s="331">
        <f>+IF(I132=0,0,+IF(ROUNDUP(SUM($D132:I132),0)&lt;$D$20,$D$20*$B$130,0))</f>
        <v>0</v>
      </c>
      <c r="K132" s="331">
        <f>+IF(J132=0,0,+IF(ROUNDUP(SUM($D132:J132),0)&lt;$D$20,$D$20*$B$130,0))</f>
        <v>0</v>
      </c>
      <c r="L132" s="331">
        <f>+IF(K132=0,0,+IF(ROUNDUP(SUM($D132:K132),0)&lt;$D$20,$D$20*$B$130,0))</f>
        <v>0</v>
      </c>
      <c r="M132" s="331">
        <f>+IF(L132=0,0,+IF(ROUNDUP(SUM($D132:L132),0)&lt;$D$20,$D$20*$B$130,0))</f>
        <v>0</v>
      </c>
    </row>
    <row r="133" spans="1:13" ht="12.75" hidden="1">
      <c r="A133" s="332">
        <f t="shared" si="40"/>
        <v>2018</v>
      </c>
      <c r="B133" s="330"/>
      <c r="C133" s="331"/>
      <c r="D133" s="331"/>
      <c r="E133" s="331">
        <f>+IF(E$20&lt;0,0,E$20*$B$130)</f>
        <v>0</v>
      </c>
      <c r="F133" s="331">
        <f aca="true" t="shared" si="49" ref="F133:M133">+IF(F$20&lt;0,0,F$20*$B$130)</f>
        <v>0</v>
      </c>
      <c r="G133" s="331">
        <f t="shared" si="49"/>
        <v>0</v>
      </c>
      <c r="H133" s="331">
        <f t="shared" si="49"/>
        <v>0</v>
      </c>
      <c r="I133" s="331">
        <f t="shared" si="49"/>
        <v>0</v>
      </c>
      <c r="J133" s="331">
        <f t="shared" si="49"/>
        <v>0</v>
      </c>
      <c r="K133" s="331">
        <f>+IF(K$20&lt;0,0,K$20*$B$130)</f>
        <v>0</v>
      </c>
      <c r="L133" s="331">
        <f t="shared" si="49"/>
        <v>0</v>
      </c>
      <c r="M133" s="331">
        <f t="shared" si="49"/>
        <v>0</v>
      </c>
    </row>
    <row r="134" spans="1:13" ht="12.75" hidden="1">
      <c r="A134" s="332">
        <f t="shared" si="40"/>
        <v>2019</v>
      </c>
      <c r="B134" s="330"/>
      <c r="C134" s="331"/>
      <c r="D134" s="331"/>
      <c r="E134" s="331"/>
      <c r="F134" s="331"/>
      <c r="G134" s="331"/>
      <c r="H134" s="331"/>
      <c r="I134" s="331"/>
      <c r="J134" s="331"/>
      <c r="K134" s="331"/>
      <c r="L134" s="331"/>
      <c r="M134" s="331"/>
    </row>
    <row r="135" spans="1:13" ht="12.75" hidden="1">
      <c r="A135" s="332">
        <f t="shared" si="40"/>
        <v>2020</v>
      </c>
      <c r="B135" s="330"/>
      <c r="C135" s="331"/>
      <c r="D135" s="331"/>
      <c r="E135" s="331"/>
      <c r="F135" s="331"/>
      <c r="G135" s="331"/>
      <c r="H135" s="331"/>
      <c r="I135" s="331"/>
      <c r="J135" s="331"/>
      <c r="K135" s="331"/>
      <c r="L135" s="331"/>
      <c r="M135" s="331"/>
    </row>
    <row r="136" spans="1:13" ht="12.75" hidden="1">
      <c r="A136" s="332">
        <f t="shared" si="40"/>
        <v>2021</v>
      </c>
      <c r="B136" s="334"/>
      <c r="C136" s="331"/>
      <c r="D136" s="331"/>
      <c r="E136" s="331"/>
      <c r="F136" s="331"/>
      <c r="G136" s="331"/>
      <c r="H136" s="331"/>
      <c r="I136" s="331"/>
      <c r="J136" s="331"/>
      <c r="K136" s="331"/>
      <c r="L136" s="331"/>
      <c r="M136" s="331"/>
    </row>
    <row r="137" spans="1:13" ht="12.75" hidden="1">
      <c r="A137" s="538" t="s">
        <v>46</v>
      </c>
      <c r="B137" s="539"/>
      <c r="C137" s="341">
        <f>+C95+C102+C109+C116+C123+C130</f>
        <v>0</v>
      </c>
      <c r="D137" s="341">
        <f>+D95+D102+D109+D116+D123+D130</f>
        <v>0</v>
      </c>
      <c r="E137" s="341">
        <f>+E95+E102+E109+E116+E123+E130</f>
        <v>0</v>
      </c>
      <c r="F137" s="341">
        <f aca="true" t="shared" si="50" ref="F137:K137">+F95+F102+F109+F116+F123+F130</f>
        <v>0</v>
      </c>
      <c r="G137" s="341">
        <f t="shared" si="50"/>
        <v>0</v>
      </c>
      <c r="H137" s="341">
        <f t="shared" si="50"/>
        <v>0</v>
      </c>
      <c r="I137" s="341">
        <f t="shared" si="50"/>
        <v>0</v>
      </c>
      <c r="J137" s="341">
        <f t="shared" si="50"/>
        <v>0</v>
      </c>
      <c r="K137" s="341">
        <f t="shared" si="50"/>
        <v>0</v>
      </c>
      <c r="L137" s="341">
        <f>+L95+L102+L109+L116+L123+L130</f>
        <v>0</v>
      </c>
      <c r="M137" s="341">
        <f>+M95+M102+M109+M116+M123+M130</f>
        <v>0</v>
      </c>
    </row>
    <row r="138" spans="1:13" ht="12.75" hidden="1">
      <c r="A138" s="337" t="s">
        <v>308</v>
      </c>
      <c r="B138" s="172"/>
      <c r="C138" s="335"/>
      <c r="D138" s="335"/>
      <c r="E138" s="335"/>
      <c r="F138" s="335"/>
      <c r="G138" s="335"/>
      <c r="H138" s="335"/>
      <c r="I138" s="335"/>
      <c r="J138" s="335"/>
      <c r="K138" s="335"/>
      <c r="L138" s="335"/>
      <c r="M138" s="335"/>
    </row>
    <row r="139" spans="1:13" ht="12.75" hidden="1">
      <c r="A139" s="329" t="s">
        <v>318</v>
      </c>
      <c r="B139" s="330">
        <f>+C70</f>
        <v>0.33333</v>
      </c>
      <c r="C139" s="331">
        <f>SUM(C140:C145)</f>
        <v>0</v>
      </c>
      <c r="D139" s="331">
        <f>SUM(D140:D145)</f>
        <v>0</v>
      </c>
      <c r="E139" s="331">
        <f>SUM(E140:E145)</f>
        <v>0</v>
      </c>
      <c r="F139" s="331">
        <f aca="true" t="shared" si="51" ref="F139:K139">SUM(F140:F145)</f>
        <v>0</v>
      </c>
      <c r="G139" s="331">
        <f t="shared" si="51"/>
        <v>0</v>
      </c>
      <c r="H139" s="331">
        <f t="shared" si="51"/>
        <v>0</v>
      </c>
      <c r="I139" s="331">
        <f t="shared" si="51"/>
        <v>0</v>
      </c>
      <c r="J139" s="331">
        <f t="shared" si="51"/>
        <v>0</v>
      </c>
      <c r="K139" s="331">
        <f t="shared" si="51"/>
        <v>0</v>
      </c>
      <c r="L139" s="331">
        <f>SUM(L140:L145)</f>
        <v>0</v>
      </c>
      <c r="M139" s="331">
        <f>SUM(M140:M145)</f>
        <v>0</v>
      </c>
    </row>
    <row r="140" spans="1:13" ht="12.75" hidden="1">
      <c r="A140" s="332">
        <f aca="true" t="shared" si="52" ref="A140:A145">A103</f>
        <v>2016</v>
      </c>
      <c r="B140" s="330"/>
      <c r="C140" s="331">
        <f>+IF(C$24&lt;0,0,C$24*$B$139)/12*C75</f>
        <v>0</v>
      </c>
      <c r="D140" s="331">
        <f>+IF(C24=0,0,+IF(ROUNDUP(SUM($C140:C140),0)&lt;$C$24,$C$24*$B$139,0))</f>
        <v>0</v>
      </c>
      <c r="E140" s="331">
        <f>+IF(D140=0,0,+IF(ROUNDUP(SUM($C140:D140),0)&lt;$C$24,$C$24*$B$139,0))</f>
        <v>0</v>
      </c>
      <c r="F140" s="470">
        <f>+IF(E140=0,0,+IF(ROUNDUP(SUM($C140:E140),0)&lt;$C24,MIN(($C24-SUM($C140:E140)),+$C24*$B$139),0))</f>
        <v>0</v>
      </c>
      <c r="G140" s="470">
        <f>+IF(F140=0,0,+IF(ROUNDUP(SUM($C140:F140),0)&lt;$C24,MIN(($C24-SUM($C140:F140)),+$C24*$B$139),0))</f>
        <v>0</v>
      </c>
      <c r="H140" s="470">
        <f>+IF(G140=0,0,+IF(ROUNDUP(SUM($C140:G140),0)&lt;$C24,MIN(($C24-SUM($C140:G140)),+$C24*$B$139),0))</f>
        <v>0</v>
      </c>
      <c r="I140" s="470">
        <f>+IF(H140=0,0,+IF(ROUNDUP(SUM($C140:H140),0)&lt;$C24,MIN(($C24-SUM($C140:H140)),+$C24*$B$139),0))</f>
        <v>0</v>
      </c>
      <c r="J140" s="470">
        <f>+IF(I140=0,0,+IF(ROUNDUP(SUM($C140:I140),0)&lt;$C24,MIN(($C24-SUM($C140:I140)),+$C24*$B$139),0))</f>
        <v>0</v>
      </c>
      <c r="K140" s="470">
        <f>+IF(J140=0,0,+IF(ROUNDUP(SUM($C140:J140),0)&lt;$C24,MIN(($C24-SUM($C140:J140)),+$C24*$B$139),0))</f>
        <v>0</v>
      </c>
      <c r="L140" s="470">
        <f>+IF(K140=0,0,+IF(ROUNDUP(SUM($C140:K140),0)&lt;$C24,MIN(($C24-SUM($C140:K140)),+$C24*$B$139),0))</f>
        <v>0</v>
      </c>
      <c r="M140" s="470">
        <f>+IF(L140=0,0,+IF(ROUNDUP(SUM($C140:L140),0)&lt;$C24,MIN(($C24-SUM($C140:L140)),+$C24*$B$139),0))</f>
        <v>0</v>
      </c>
    </row>
    <row r="141" spans="1:13" ht="12.75" hidden="1">
      <c r="A141" s="332">
        <f t="shared" si="52"/>
        <v>2017</v>
      </c>
      <c r="B141" s="330"/>
      <c r="C141" s="331"/>
      <c r="D141" s="331">
        <f>+IF(D$24&lt;0,0,D$24*$B$139)</f>
        <v>0</v>
      </c>
      <c r="E141" s="331">
        <f>+IF(D141=0,0,+IF(ROUNDUP(SUM($D141:D141),0)&lt;$D$24,$D$24*$B$139,0))</f>
        <v>0</v>
      </c>
      <c r="F141" s="331">
        <f>+IF(E141=0,0,+IF(ROUNDUP(SUM($D141:E141),0)&lt;$D$24,$D$24*$B$139,0))</f>
        <v>0</v>
      </c>
      <c r="G141" s="331">
        <f>+IF(F141=0,0,+IF(ROUNDUP(SUM($D141:F141),0)&lt;$D$24,$D$24*$B$139,0))</f>
        <v>0</v>
      </c>
      <c r="H141" s="331">
        <f>+IF(G141=0,0,+IF(ROUNDUP(SUM($D141:G141),0)&lt;$D$24,$D$24*$B$139,0))</f>
        <v>0</v>
      </c>
      <c r="I141" s="331">
        <f>+IF(H141=0,0,+IF(ROUNDUP(SUM($D141:H141),0)&lt;$D$24,$D$24*$B$139,0))</f>
        <v>0</v>
      </c>
      <c r="J141" s="331">
        <f>+IF(I141=0,0,+IF(ROUNDUP(SUM($D141:I141),0)&lt;$D$24,$D$24*$B$139,0))</f>
        <v>0</v>
      </c>
      <c r="K141" s="331">
        <f>+IF(J141=0,0,+IF(ROUNDUP(SUM($D141:J141),0)&lt;$D$24,$D$24*$B$139,0))</f>
        <v>0</v>
      </c>
      <c r="L141" s="331">
        <f>+IF(K141=0,0,+IF(ROUNDUP(SUM($D141:K141),0)&lt;$D$24,$D$24*$B$139,0))</f>
        <v>0</v>
      </c>
      <c r="M141" s="331">
        <f>+IF(L141=0,0,+IF(ROUNDUP(SUM($D141:L141),0)&lt;$D$24,$D$24*$B$139,0))</f>
        <v>0</v>
      </c>
    </row>
    <row r="142" spans="1:13" ht="12.75" hidden="1">
      <c r="A142" s="332">
        <f t="shared" si="52"/>
        <v>2018</v>
      </c>
      <c r="B142" s="330"/>
      <c r="C142" s="331"/>
      <c r="D142" s="331"/>
      <c r="E142" s="331">
        <f>+IF(E$24&lt;0,0,E$24*$B$139)</f>
        <v>0</v>
      </c>
      <c r="F142" s="331">
        <f aca="true" t="shared" si="53" ref="F142:M142">+IF(F$24&lt;0,0,F$24*$B$139)</f>
        <v>0</v>
      </c>
      <c r="G142" s="331">
        <f t="shared" si="53"/>
        <v>0</v>
      </c>
      <c r="H142" s="331">
        <f t="shared" si="53"/>
        <v>0</v>
      </c>
      <c r="I142" s="331">
        <f t="shared" si="53"/>
        <v>0</v>
      </c>
      <c r="J142" s="331">
        <f t="shared" si="53"/>
        <v>0</v>
      </c>
      <c r="K142" s="331">
        <f>+IF(K$24&lt;0,0,K$24*$B$139)</f>
        <v>0</v>
      </c>
      <c r="L142" s="331">
        <f t="shared" si="53"/>
        <v>0</v>
      </c>
      <c r="M142" s="331">
        <f t="shared" si="53"/>
        <v>0</v>
      </c>
    </row>
    <row r="143" spans="1:13" ht="12.75" hidden="1">
      <c r="A143" s="332">
        <f t="shared" si="52"/>
        <v>2019</v>
      </c>
      <c r="B143" s="330"/>
      <c r="C143" s="331"/>
      <c r="D143" s="331"/>
      <c r="E143" s="331"/>
      <c r="F143" s="331"/>
      <c r="G143" s="331"/>
      <c r="H143" s="331"/>
      <c r="I143" s="331"/>
      <c r="J143" s="331"/>
      <c r="K143" s="331"/>
      <c r="L143" s="331"/>
      <c r="M143" s="331"/>
    </row>
    <row r="144" spans="1:13" ht="12.75" hidden="1">
      <c r="A144" s="332">
        <f t="shared" si="52"/>
        <v>2020</v>
      </c>
      <c r="B144" s="330"/>
      <c r="C144" s="331"/>
      <c r="D144" s="331"/>
      <c r="E144" s="331"/>
      <c r="F144" s="331"/>
      <c r="G144" s="331"/>
      <c r="H144" s="331"/>
      <c r="I144" s="331"/>
      <c r="J144" s="331"/>
      <c r="K144" s="331"/>
      <c r="L144" s="331"/>
      <c r="M144" s="331"/>
    </row>
    <row r="145" spans="1:13" ht="12.75" hidden="1">
      <c r="A145" s="332">
        <f t="shared" si="52"/>
        <v>2021</v>
      </c>
      <c r="B145" s="330"/>
      <c r="C145" s="331"/>
      <c r="D145" s="331"/>
      <c r="E145" s="331"/>
      <c r="F145" s="331"/>
      <c r="G145" s="331"/>
      <c r="H145" s="331"/>
      <c r="I145" s="331"/>
      <c r="J145" s="331"/>
      <c r="K145" s="331"/>
      <c r="L145" s="331"/>
      <c r="M145" s="331"/>
    </row>
    <row r="146" spans="1:13" ht="12.75" hidden="1">
      <c r="A146" s="329" t="s">
        <v>319</v>
      </c>
      <c r="B146" s="330">
        <f>+C71</f>
        <v>0.3333333333333333</v>
      </c>
      <c r="C146" s="331">
        <f>SUM(C147:C152)</f>
        <v>0</v>
      </c>
      <c r="D146" s="331">
        <f>SUM(D147:D152)</f>
        <v>0</v>
      </c>
      <c r="E146" s="331">
        <f>SUM(E147:E152)</f>
        <v>0</v>
      </c>
      <c r="F146" s="331">
        <f aca="true" t="shared" si="54" ref="F146:K146">SUM(F147:F152)</f>
        <v>0</v>
      </c>
      <c r="G146" s="331">
        <f t="shared" si="54"/>
        <v>0</v>
      </c>
      <c r="H146" s="331">
        <f t="shared" si="54"/>
        <v>0</v>
      </c>
      <c r="I146" s="331">
        <f t="shared" si="54"/>
        <v>0</v>
      </c>
      <c r="J146" s="331">
        <f t="shared" si="54"/>
        <v>0</v>
      </c>
      <c r="K146" s="331">
        <f t="shared" si="54"/>
        <v>0</v>
      </c>
      <c r="L146" s="331">
        <f>SUM(L147:L152)</f>
        <v>0</v>
      </c>
      <c r="M146" s="331">
        <f>SUM(M147:M152)</f>
        <v>0</v>
      </c>
    </row>
    <row r="147" spans="1:13" ht="12.75" hidden="1">
      <c r="A147" s="332">
        <f aca="true" t="shared" si="55" ref="A147:A152">A140</f>
        <v>2016</v>
      </c>
      <c r="B147" s="330"/>
      <c r="C147" s="331">
        <f>+IF(C$25&lt;0,0,C$25*$B$146)/12*C75</f>
        <v>0</v>
      </c>
      <c r="D147" s="331">
        <f>+IF(C25=0,0,+IF(ROUNDUP(SUM($C147:C147),0)&lt;$C$25,$C$25*$B$146,0))</f>
        <v>0</v>
      </c>
      <c r="E147" s="331">
        <f>+IF(D147=0,0,+IF(ROUNDUP(SUM($C147:D147),0)&lt;$C$25,$C$25*$B$146,0))</f>
        <v>0</v>
      </c>
      <c r="F147" s="470">
        <f>+IF(E147=0,0,+IF(ROUNDUP(SUM($C147:E147),0)&lt;$C25,MIN(($C25-SUM($C147:E147)),+$C25*$B$146),0))</f>
        <v>0</v>
      </c>
      <c r="G147" s="470">
        <f>+IF(F147=0,0,+IF(ROUNDUP(SUM($C147:F147),0)&lt;$C25,MIN(($C25-SUM($C147:F147)),+$C25*$B$146),0))</f>
        <v>0</v>
      </c>
      <c r="H147" s="470">
        <f>+IF(G147=0,0,+IF(ROUNDUP(SUM($C147:G147),0)&lt;$C25,MIN(($C25-SUM($C147:G147)),+$C25*$B$146),0))</f>
        <v>0</v>
      </c>
      <c r="I147" s="470">
        <f>+IF(H147=0,0,+IF(ROUNDUP(SUM($C147:H147),0)&lt;$C25,MIN(($C25-SUM($C147:H147)),+$C25*$B$146),0))</f>
        <v>0</v>
      </c>
      <c r="J147" s="470">
        <f>+IF(I147=0,0,+IF(ROUNDUP(SUM($C147:I147),0)&lt;$C25,MIN(($C25-SUM($C147:I147)),+$C25*$B$146),0))</f>
        <v>0</v>
      </c>
      <c r="K147" s="470">
        <f>+IF(J147=0,0,+IF(ROUNDUP(SUM($C147:J147),0)&lt;$C25,MIN(($C25-SUM($C147:J147)),+$C25*$B$146),0))</f>
        <v>0</v>
      </c>
      <c r="L147" s="470">
        <f>+IF(K147=0,0,+IF(ROUNDUP(SUM($C147:K147),0)&lt;$C25,MIN(($C25-SUM($C147:K147)),+$C25*$B$146),0))</f>
        <v>0</v>
      </c>
      <c r="M147" s="470">
        <f>+IF(L147=0,0,+IF(ROUNDUP(SUM($C147:L147),0)&lt;$C25,MIN(($C25-SUM($C147:L147)),+$C25*$B$146),0))</f>
        <v>0</v>
      </c>
    </row>
    <row r="148" spans="1:13" ht="12.75" hidden="1">
      <c r="A148" s="332">
        <f t="shared" si="55"/>
        <v>2017</v>
      </c>
      <c r="B148" s="330"/>
      <c r="C148" s="331"/>
      <c r="D148" s="331">
        <f>+IF(D$25&lt;0,0,D$25*$B$146)</f>
        <v>0</v>
      </c>
      <c r="E148" s="331">
        <f>+IF(D148=0,0,+IF(ROUNDUP(SUM($D148:D148),0)&lt;$D$25,$D$25*$B$146,0))</f>
        <v>0</v>
      </c>
      <c r="F148" s="331">
        <f>+IF(E148=0,0,+IF(ROUNDUP(SUM($D148:E148),0)&lt;$D$25,$D$25*$B$146,0))</f>
        <v>0</v>
      </c>
      <c r="G148" s="331">
        <f>+IF(F148=0,0,+IF(ROUNDUP(SUM($D148:F148),0)&lt;$D$25,$D$25*$B$146,0))</f>
        <v>0</v>
      </c>
      <c r="H148" s="331">
        <f>+IF(G148=0,0,+IF(ROUNDUP(SUM($D148:G148),0)&lt;$D$25,$D$25*$B$146,0))</f>
        <v>0</v>
      </c>
      <c r="I148" s="331">
        <f>+IF(H148=0,0,+IF(ROUNDUP(SUM($D148:H148),0)&lt;$D$25,$D$25*$B$146,0))</f>
        <v>0</v>
      </c>
      <c r="J148" s="331">
        <f>+IF(I148=0,0,+IF(ROUNDUP(SUM($D148:I148),0)&lt;$D$25,$D$25*$B$146,0))</f>
        <v>0</v>
      </c>
      <c r="K148" s="331">
        <f>+IF(J148=0,0,+IF(ROUNDUP(SUM($D148:J148),0)&lt;$D$25,$D$25*$B$146,0))</f>
        <v>0</v>
      </c>
      <c r="L148" s="331">
        <f>+IF(K148=0,0,+IF(ROUNDUP(SUM($D148:K148),0)&lt;$D$25,$D$25*$B$146,0))</f>
        <v>0</v>
      </c>
      <c r="M148" s="331">
        <f>+IF(L148=0,0,+IF(ROUNDUP(SUM($D148:L148),0)&lt;$D$25,$D$25*$B$146,0))</f>
        <v>0</v>
      </c>
    </row>
    <row r="149" spans="1:13" ht="12.75" hidden="1">
      <c r="A149" s="332">
        <f t="shared" si="55"/>
        <v>2018</v>
      </c>
      <c r="B149" s="330"/>
      <c r="C149" s="331"/>
      <c r="D149" s="331"/>
      <c r="E149" s="331">
        <f>+IF(E$25&lt;0,0,E$25*$B$146)</f>
        <v>0</v>
      </c>
      <c r="F149" s="331">
        <f aca="true" t="shared" si="56" ref="F149:M149">+IF(F$25&lt;0,0,F$25*$B$146)</f>
        <v>0</v>
      </c>
      <c r="G149" s="331">
        <f t="shared" si="56"/>
        <v>0</v>
      </c>
      <c r="H149" s="331">
        <f t="shared" si="56"/>
        <v>0</v>
      </c>
      <c r="I149" s="331">
        <f t="shared" si="56"/>
        <v>0</v>
      </c>
      <c r="J149" s="331">
        <f t="shared" si="56"/>
        <v>0</v>
      </c>
      <c r="K149" s="331">
        <f>+IF(K$25&lt;0,0,K$25*$B$146)</f>
        <v>0</v>
      </c>
      <c r="L149" s="331">
        <f t="shared" si="56"/>
        <v>0</v>
      </c>
      <c r="M149" s="331">
        <f t="shared" si="56"/>
        <v>0</v>
      </c>
    </row>
    <row r="150" spans="1:13" ht="12.75" hidden="1">
      <c r="A150" s="332">
        <f t="shared" si="55"/>
        <v>2019</v>
      </c>
      <c r="B150" s="330"/>
      <c r="C150" s="331"/>
      <c r="D150" s="331"/>
      <c r="E150" s="331"/>
      <c r="F150" s="331"/>
      <c r="G150" s="331"/>
      <c r="H150" s="331"/>
      <c r="I150" s="331"/>
      <c r="J150" s="331"/>
      <c r="K150" s="331"/>
      <c r="L150" s="331"/>
      <c r="M150" s="331"/>
    </row>
    <row r="151" spans="1:13" ht="12.75" hidden="1">
      <c r="A151" s="332">
        <f t="shared" si="55"/>
        <v>2020</v>
      </c>
      <c r="B151" s="330"/>
      <c r="C151" s="331"/>
      <c r="D151" s="331"/>
      <c r="E151" s="331"/>
      <c r="F151" s="331"/>
      <c r="G151" s="331"/>
      <c r="H151" s="331"/>
      <c r="I151" s="331"/>
      <c r="J151" s="331"/>
      <c r="K151" s="331"/>
      <c r="L151" s="331"/>
      <c r="M151" s="331"/>
    </row>
    <row r="152" spans="1:13" ht="12.75" hidden="1">
      <c r="A152" s="332">
        <f t="shared" si="55"/>
        <v>2021</v>
      </c>
      <c r="B152" s="330"/>
      <c r="C152" s="331"/>
      <c r="D152" s="331"/>
      <c r="E152" s="331"/>
      <c r="F152" s="331"/>
      <c r="G152" s="331"/>
      <c r="H152" s="331"/>
      <c r="I152" s="331"/>
      <c r="J152" s="331"/>
      <c r="K152" s="331"/>
      <c r="L152" s="331"/>
      <c r="M152" s="331"/>
    </row>
    <row r="153" spans="1:13" ht="12.75" hidden="1">
      <c r="A153" s="329" t="s">
        <v>320</v>
      </c>
      <c r="B153" s="330">
        <f>+C72</f>
        <v>0.3333333333333333</v>
      </c>
      <c r="C153" s="331">
        <f>SUM(C154:C159)</f>
        <v>0</v>
      </c>
      <c r="D153" s="331">
        <f>SUM(D154:D159)</f>
        <v>0</v>
      </c>
      <c r="E153" s="331">
        <f>SUM(E154:E159)</f>
        <v>0</v>
      </c>
      <c r="F153" s="331">
        <f aca="true" t="shared" si="57" ref="F153:K153">SUM(F154:F159)</f>
        <v>0</v>
      </c>
      <c r="G153" s="331">
        <f t="shared" si="57"/>
        <v>0</v>
      </c>
      <c r="H153" s="331">
        <f t="shared" si="57"/>
        <v>0</v>
      </c>
      <c r="I153" s="331">
        <f t="shared" si="57"/>
        <v>0</v>
      </c>
      <c r="J153" s="331">
        <f t="shared" si="57"/>
        <v>0</v>
      </c>
      <c r="K153" s="331">
        <f t="shared" si="57"/>
        <v>0</v>
      </c>
      <c r="L153" s="331">
        <f>SUM(L154:L159)</f>
        <v>0</v>
      </c>
      <c r="M153" s="331">
        <f>SUM(M154:M159)</f>
        <v>0</v>
      </c>
    </row>
    <row r="154" spans="1:13" ht="12.75" hidden="1">
      <c r="A154" s="332">
        <f aca="true" t="shared" si="58" ref="A154:A166">A147</f>
        <v>2016</v>
      </c>
      <c r="B154" s="330"/>
      <c r="C154" s="331">
        <f>+IF(C$26&lt;0,0,C$26*$B$153)/12*C75</f>
        <v>0</v>
      </c>
      <c r="D154" s="331">
        <f>+IF(C26=0,0,+IF(ROUNDUP(SUM($C154:C154),0)&lt;$C$26,$C$26*$B$153,0))</f>
        <v>0</v>
      </c>
      <c r="E154" s="331">
        <f>+IF(D154=0,0,+IF(ROUNDUP(SUM($C154:D154),0)&lt;$C$26,$C$26*$B$153,0))</f>
        <v>0</v>
      </c>
      <c r="F154" s="470">
        <f>+IF(E154=0,0,+IF(ROUNDUP(SUM($C154:E154),0)&lt;$C26,MIN(($C26-SUM($C154:E154)),+$C26*$B$153),0))</f>
        <v>0</v>
      </c>
      <c r="G154" s="470">
        <f>+IF(F154=0,0,+IF(ROUNDUP(SUM($C154:F154),0)&lt;$C26,MIN(($C26-SUM($C154:F154)),+$C26*$B$153),0))</f>
        <v>0</v>
      </c>
      <c r="H154" s="470">
        <f>+IF(G154=0,0,+IF(ROUNDUP(SUM($C154:G154),0)&lt;$C26,MIN(($C26-SUM($C154:G154)),+$C26*$B$153),0))</f>
        <v>0</v>
      </c>
      <c r="I154" s="470">
        <f>+IF(H154=0,0,+IF(ROUNDUP(SUM($C154:H154),0)&lt;$C26,MIN(($C26-SUM($C154:H154)),+$C26*$B$153),0))</f>
        <v>0</v>
      </c>
      <c r="J154" s="470">
        <f>+IF(I154=0,0,+IF(ROUNDUP(SUM($C154:I154),0)&lt;$C26,MIN(($C26-SUM($C154:I154)),+$C26*$B$153),0))</f>
        <v>0</v>
      </c>
      <c r="K154" s="470">
        <f>+IF(J154=0,0,+IF(ROUNDUP(SUM($C154:J154),0)&lt;$C26,MIN(($C26-SUM($C154:J154)),+$C26*$B$153),0))</f>
        <v>0</v>
      </c>
      <c r="L154" s="470">
        <f>+IF(K154=0,0,+IF(ROUNDUP(SUM($C154:K154),0)&lt;$C26,MIN(($C26-SUM($C154:K154)),+$C26*$B$153),0))</f>
        <v>0</v>
      </c>
      <c r="M154" s="470">
        <f>+IF(L154=0,0,+IF(ROUNDUP(SUM($C154:L154),0)&lt;$C26,MIN(($C26-SUM($C154:L154)),+$C26*$B$153),0))</f>
        <v>0</v>
      </c>
    </row>
    <row r="155" spans="1:13" ht="12.75" hidden="1">
      <c r="A155" s="332">
        <f t="shared" si="58"/>
        <v>2017</v>
      </c>
      <c r="B155" s="330"/>
      <c r="C155" s="331"/>
      <c r="D155" s="331">
        <f>+IF(D$26&lt;0,0,D$26*$B$153)</f>
        <v>0</v>
      </c>
      <c r="E155" s="331">
        <f>+IF(D155=0,0,+IF(ROUNDUP(SUM($D155:D155),0)&lt;$D$26,$D$26*$B$153,0))</f>
        <v>0</v>
      </c>
      <c r="F155" s="331">
        <f>+IF(E155=0,0,+IF(ROUNDUP(SUM($D155:E155),0)&lt;$D$26,$D$26*$B$153,0))</f>
        <v>0</v>
      </c>
      <c r="G155" s="331">
        <f>+IF(F155=0,0,+IF(ROUNDUP(SUM($D155:F155),0)&lt;$D$26,$D$26*$B$153,0))</f>
        <v>0</v>
      </c>
      <c r="H155" s="331">
        <f>+IF(G155=0,0,+IF(ROUNDUP(SUM($D155:G155),0)&lt;$D$26,$D$26*$B$153,0))</f>
        <v>0</v>
      </c>
      <c r="I155" s="331">
        <f>+IF(H155=0,0,+IF(ROUNDUP(SUM($D155:H155),0)&lt;$D$26,$D$26*$B$153,0))</f>
        <v>0</v>
      </c>
      <c r="J155" s="331">
        <f>+IF(I155=0,0,+IF(ROUNDUP(SUM($D155:I155),0)&lt;$D$26,$D$26*$B$153,0))</f>
        <v>0</v>
      </c>
      <c r="K155" s="331">
        <f>+IF(J155=0,0,+IF(ROUNDUP(SUM($D155:J155),0)&lt;$D$26,$D$26*$B$153,0))</f>
        <v>0</v>
      </c>
      <c r="L155" s="331">
        <f>+IF(K155=0,0,+IF(ROUNDUP(SUM($D155:K155),0)&lt;$D$26,$D$26*$B$153,0))</f>
        <v>0</v>
      </c>
      <c r="M155" s="331">
        <f>+IF(L155=0,0,+IF(ROUNDUP(SUM($D155:L155),0)&lt;$D$26,$D$26*$B$153,0))</f>
        <v>0</v>
      </c>
    </row>
    <row r="156" spans="1:13" ht="12.75" hidden="1">
      <c r="A156" s="332">
        <f t="shared" si="58"/>
        <v>2018</v>
      </c>
      <c r="B156" s="330"/>
      <c r="C156" s="331"/>
      <c r="D156" s="331"/>
      <c r="E156" s="331">
        <f>+IF(E$26&lt;0,0,E$26*$B$153)</f>
        <v>0</v>
      </c>
      <c r="F156" s="331">
        <f aca="true" t="shared" si="59" ref="F156:M156">+IF(F$26&lt;0,0,F$26*$B$153)</f>
        <v>0</v>
      </c>
      <c r="G156" s="331">
        <f t="shared" si="59"/>
        <v>0</v>
      </c>
      <c r="H156" s="331">
        <f t="shared" si="59"/>
        <v>0</v>
      </c>
      <c r="I156" s="331">
        <f t="shared" si="59"/>
        <v>0</v>
      </c>
      <c r="J156" s="331">
        <f t="shared" si="59"/>
        <v>0</v>
      </c>
      <c r="K156" s="331">
        <f>+IF(K$26&lt;0,0,K$26*$B$153)</f>
        <v>0</v>
      </c>
      <c r="L156" s="331">
        <f t="shared" si="59"/>
        <v>0</v>
      </c>
      <c r="M156" s="331">
        <f t="shared" si="59"/>
        <v>0</v>
      </c>
    </row>
    <row r="157" spans="1:13" ht="12.75" hidden="1">
      <c r="A157" s="332">
        <f t="shared" si="58"/>
        <v>2019</v>
      </c>
      <c r="B157" s="330"/>
      <c r="C157" s="331"/>
      <c r="D157" s="331"/>
      <c r="E157" s="331"/>
      <c r="F157" s="331"/>
      <c r="G157" s="331"/>
      <c r="H157" s="331"/>
      <c r="I157" s="331"/>
      <c r="J157" s="331"/>
      <c r="K157" s="331"/>
      <c r="L157" s="331"/>
      <c r="M157" s="331"/>
    </row>
    <row r="158" spans="1:13" ht="12.75" hidden="1">
      <c r="A158" s="332">
        <f t="shared" si="58"/>
        <v>2020</v>
      </c>
      <c r="B158" s="330"/>
      <c r="C158" s="331"/>
      <c r="D158" s="331"/>
      <c r="E158" s="331"/>
      <c r="F158" s="331"/>
      <c r="G158" s="331"/>
      <c r="H158" s="331"/>
      <c r="I158" s="331"/>
      <c r="J158" s="331"/>
      <c r="K158" s="331"/>
      <c r="L158" s="331"/>
      <c r="M158" s="331"/>
    </row>
    <row r="159" spans="1:13" ht="12.75" hidden="1">
      <c r="A159" s="332">
        <f t="shared" si="58"/>
        <v>2021</v>
      </c>
      <c r="B159" s="330"/>
      <c r="C159" s="331"/>
      <c r="D159" s="331"/>
      <c r="E159" s="331"/>
      <c r="F159" s="331"/>
      <c r="G159" s="331"/>
      <c r="H159" s="331"/>
      <c r="I159" s="331"/>
      <c r="J159" s="331"/>
      <c r="K159" s="331"/>
      <c r="L159" s="331"/>
      <c r="M159" s="331"/>
    </row>
    <row r="160" spans="1:13" ht="12.75" hidden="1">
      <c r="A160" s="329" t="s">
        <v>321</v>
      </c>
      <c r="B160" s="330">
        <f>+C73</f>
        <v>0.3333333333333333</v>
      </c>
      <c r="C160" s="331">
        <f>SUM(C161:C166)</f>
        <v>0</v>
      </c>
      <c r="D160" s="331">
        <f>SUM(D161:D166)</f>
        <v>0</v>
      </c>
      <c r="E160" s="331">
        <f>SUM(E161:E166)</f>
        <v>0</v>
      </c>
      <c r="F160" s="331">
        <f aca="true" t="shared" si="60" ref="F160:K160">SUM(F161:F166)</f>
        <v>0</v>
      </c>
      <c r="G160" s="331">
        <f t="shared" si="60"/>
        <v>0</v>
      </c>
      <c r="H160" s="331">
        <f t="shared" si="60"/>
        <v>0</v>
      </c>
      <c r="I160" s="331">
        <f t="shared" si="60"/>
        <v>0</v>
      </c>
      <c r="J160" s="331">
        <f t="shared" si="60"/>
        <v>0</v>
      </c>
      <c r="K160" s="331">
        <f t="shared" si="60"/>
        <v>0</v>
      </c>
      <c r="L160" s="331">
        <f>SUM(L161:L166)</f>
        <v>0</v>
      </c>
      <c r="M160" s="331">
        <f>SUM(M161:M166)</f>
        <v>0</v>
      </c>
    </row>
    <row r="161" spans="1:13" ht="12.75" hidden="1">
      <c r="A161" s="332">
        <f t="shared" si="58"/>
        <v>2016</v>
      </c>
      <c r="B161" s="330"/>
      <c r="C161" s="331">
        <f>+IF(C$27&lt;0,0,C$27*$B$160)/12*C75</f>
        <v>0</v>
      </c>
      <c r="D161" s="331">
        <f>+IF(C27=0,0,+IF(ROUNDUP(SUM($C161:C161),0)&lt;$C$27,$C$27*$B$160,0))</f>
        <v>0</v>
      </c>
      <c r="E161" s="331">
        <f>+IF(D161=0,0,+IF(ROUNDUP(SUM($C161:D161),0)&lt;$C$27,$C$27*$B$160,0))</f>
        <v>0</v>
      </c>
      <c r="F161" s="470">
        <f>+IF(E161=0,0,+IF(ROUNDUP(SUM($C161:E161),0)&lt;$C27,MIN(($C27-SUM($C161:E161)),+$C27*$B$160),0))</f>
        <v>0</v>
      </c>
      <c r="G161" s="470">
        <f>+IF(F161=0,0,+IF(ROUNDUP(SUM($C161:F161),0)&lt;$C27,MIN(($C27-SUM($C161:F161)),+$C27*$B$160),0))</f>
        <v>0</v>
      </c>
      <c r="H161" s="470">
        <f>+IF(G161=0,0,+IF(ROUNDUP(SUM($C161:G161),0)&lt;$C27,MIN(($C27-SUM($C161:G161)),+$C27*$B$160),0))</f>
        <v>0</v>
      </c>
      <c r="I161" s="470">
        <f>+IF(H161=0,0,+IF(ROUNDUP(SUM($C161:H161),0)&lt;$C27,MIN(($C27-SUM($C161:H161)),+$C27*$B$160),0))</f>
        <v>0</v>
      </c>
      <c r="J161" s="470">
        <f>+IF(I161=0,0,+IF(ROUNDUP(SUM($C161:I161),0)&lt;$C27,MIN(($C27-SUM($C161:I161)),+$C27*$B$160),0))</f>
        <v>0</v>
      </c>
      <c r="K161" s="470">
        <f>+IF(J161=0,0,+IF(ROUNDUP(SUM($C161:J161),0)&lt;$C27,MIN(($C27-SUM($C161:J161)),+$C27*$B$160),0))</f>
        <v>0</v>
      </c>
      <c r="L161" s="470">
        <f>+IF(K161=0,0,+IF(ROUNDUP(SUM($C161:K161),0)&lt;$C27,MIN(($C27-SUM($C161:K161)),+$C27*$B$160),0))</f>
        <v>0</v>
      </c>
      <c r="M161" s="470">
        <f>+IF(L161=0,0,+IF(ROUNDUP(SUM($C161:L161),0)&lt;$C27,MIN(($C27-SUM($C161:L161)),+$C27*$B$160),0))</f>
        <v>0</v>
      </c>
    </row>
    <row r="162" spans="1:13" ht="12.75" hidden="1">
      <c r="A162" s="332">
        <f t="shared" si="58"/>
        <v>2017</v>
      </c>
      <c r="B162" s="330"/>
      <c r="C162" s="331"/>
      <c r="D162" s="331">
        <f>+IF(D$27&lt;0,0,D$27*$B$160)</f>
        <v>0</v>
      </c>
      <c r="E162" s="331">
        <f>+IF(D162=0,0,+IF(ROUNDUP(SUM($D162:D162),0)&lt;$D$27,$D$27*$B$160,0))</f>
        <v>0</v>
      </c>
      <c r="F162" s="331">
        <f>+IF(E162=0,0,+IF(ROUNDUP(SUM($D162:E162),0)&lt;$D$27,$D$27*$B$160,0))</f>
        <v>0</v>
      </c>
      <c r="G162" s="331">
        <f>+IF(F162=0,0,+IF(ROUNDUP(SUM($D162:F162),0)&lt;$D$27,$D$27*$B$160,0))</f>
        <v>0</v>
      </c>
      <c r="H162" s="331">
        <f>+IF(G162=0,0,+IF(ROUNDUP(SUM($D162:G162),0)&lt;$D$27,$D$27*$B$160,0))</f>
        <v>0</v>
      </c>
      <c r="I162" s="331">
        <f>+IF(H162=0,0,+IF(ROUNDUP(SUM($D162:H162),0)&lt;$D$27,$D$27*$B$160,0))</f>
        <v>0</v>
      </c>
      <c r="J162" s="331">
        <f>+IF(I162=0,0,+IF(ROUNDUP(SUM($D162:I162),0)&lt;$D$27,$D$27*$B$160,0))</f>
        <v>0</v>
      </c>
      <c r="K162" s="331">
        <f>+IF(J162=0,0,+IF(ROUNDUP(SUM($D162:J162),0)&lt;$D$27,$D$27*$B$160,0))</f>
        <v>0</v>
      </c>
      <c r="L162" s="331">
        <f>+IF(K162=0,0,+IF(ROUNDUP(SUM($D162:K162),0)&lt;$D$27,$D$27*$B$160,0))</f>
        <v>0</v>
      </c>
      <c r="M162" s="331">
        <f>+IF(L162=0,0,+IF(ROUNDUP(SUM($D162:L162),0)&lt;$D$27,$D$27*$B$160,0))</f>
        <v>0</v>
      </c>
    </row>
    <row r="163" spans="1:13" ht="12.75" hidden="1">
      <c r="A163" s="332">
        <f t="shared" si="58"/>
        <v>2018</v>
      </c>
      <c r="B163" s="330"/>
      <c r="C163" s="331"/>
      <c r="D163" s="331"/>
      <c r="E163" s="331">
        <f>+IF(E$27&lt;0,0,E$27*$B$160)</f>
        <v>0</v>
      </c>
      <c r="F163" s="331">
        <f aca="true" t="shared" si="61" ref="F163:M163">+IF(F$27&lt;0,0,F$27*$B$160)</f>
        <v>0</v>
      </c>
      <c r="G163" s="331">
        <f t="shared" si="61"/>
        <v>0</v>
      </c>
      <c r="H163" s="331">
        <f t="shared" si="61"/>
        <v>0</v>
      </c>
      <c r="I163" s="331">
        <f t="shared" si="61"/>
        <v>0</v>
      </c>
      <c r="J163" s="331">
        <f t="shared" si="61"/>
        <v>0</v>
      </c>
      <c r="K163" s="331">
        <f>+IF(K$27&lt;0,0,K$27*$B$160)</f>
        <v>0</v>
      </c>
      <c r="L163" s="331">
        <f t="shared" si="61"/>
        <v>0</v>
      </c>
      <c r="M163" s="331">
        <f t="shared" si="61"/>
        <v>0</v>
      </c>
    </row>
    <row r="164" spans="1:13" ht="12.75" hidden="1">
      <c r="A164" s="332">
        <f t="shared" si="58"/>
        <v>2019</v>
      </c>
      <c r="B164" s="330"/>
      <c r="C164" s="331"/>
      <c r="D164" s="331"/>
      <c r="E164" s="331"/>
      <c r="F164" s="331"/>
      <c r="G164" s="331"/>
      <c r="H164" s="331"/>
      <c r="I164" s="331"/>
      <c r="J164" s="331"/>
      <c r="K164" s="331"/>
      <c r="L164" s="331"/>
      <c r="M164" s="331"/>
    </row>
    <row r="165" spans="1:13" ht="12.75" hidden="1">
      <c r="A165" s="332">
        <f t="shared" si="58"/>
        <v>2020</v>
      </c>
      <c r="B165" s="330"/>
      <c r="C165" s="331"/>
      <c r="D165" s="331"/>
      <c r="E165" s="331"/>
      <c r="F165" s="331"/>
      <c r="G165" s="331"/>
      <c r="H165" s="331"/>
      <c r="I165" s="331"/>
      <c r="J165" s="331"/>
      <c r="K165" s="331"/>
      <c r="L165" s="331"/>
      <c r="M165" s="331"/>
    </row>
    <row r="166" spans="1:13" ht="12.75" hidden="1">
      <c r="A166" s="332">
        <f t="shared" si="58"/>
        <v>2021</v>
      </c>
      <c r="B166" s="330"/>
      <c r="C166" s="331"/>
      <c r="D166" s="331"/>
      <c r="E166" s="331"/>
      <c r="F166" s="331"/>
      <c r="G166" s="331"/>
      <c r="H166" s="331"/>
      <c r="I166" s="331"/>
      <c r="J166" s="331"/>
      <c r="K166" s="331"/>
      <c r="L166" s="331"/>
      <c r="M166" s="331"/>
    </row>
    <row r="167" spans="1:13" ht="12.75" hidden="1">
      <c r="A167" s="538" t="s">
        <v>46</v>
      </c>
      <c r="B167" s="539"/>
      <c r="C167" s="341">
        <f>+C139+C146+C153+C160</f>
        <v>0</v>
      </c>
      <c r="D167" s="341">
        <f>+D139+D146+D153+D160</f>
        <v>0</v>
      </c>
      <c r="E167" s="341">
        <f>+E139+E146+E153+E160</f>
        <v>0</v>
      </c>
      <c r="F167" s="341">
        <f aca="true" t="shared" si="62" ref="F167:K167">+F139+F146+F153+F160</f>
        <v>0</v>
      </c>
      <c r="G167" s="341">
        <f t="shared" si="62"/>
        <v>0</v>
      </c>
      <c r="H167" s="341">
        <f t="shared" si="62"/>
        <v>0</v>
      </c>
      <c r="I167" s="341">
        <f t="shared" si="62"/>
        <v>0</v>
      </c>
      <c r="J167" s="341">
        <f t="shared" si="62"/>
        <v>0</v>
      </c>
      <c r="K167" s="341">
        <f t="shared" si="62"/>
        <v>0</v>
      </c>
      <c r="L167" s="341">
        <f>+L139+L146+L153+L160</f>
        <v>0</v>
      </c>
      <c r="M167" s="341">
        <f>+M139+M146+M153+M160</f>
        <v>0</v>
      </c>
    </row>
    <row r="168" spans="1:13" ht="12.75">
      <c r="A168" s="538" t="s">
        <v>360</v>
      </c>
      <c r="B168" s="539"/>
      <c r="C168" s="336">
        <f>+C93+C137+C167</f>
        <v>0</v>
      </c>
      <c r="D168" s="336">
        <f>+D93+D137+D167</f>
        <v>0</v>
      </c>
      <c r="E168" s="336">
        <f>+E93+E137+E167</f>
        <v>0</v>
      </c>
      <c r="F168" s="336">
        <f aca="true" t="shared" si="63" ref="F168:K168">+F93+F137+F167</f>
        <v>0</v>
      </c>
      <c r="G168" s="336">
        <f t="shared" si="63"/>
        <v>0</v>
      </c>
      <c r="H168" s="336">
        <f t="shared" si="63"/>
        <v>0</v>
      </c>
      <c r="I168" s="336">
        <f t="shared" si="63"/>
        <v>0</v>
      </c>
      <c r="J168" s="336">
        <f t="shared" si="63"/>
        <v>0</v>
      </c>
      <c r="K168" s="336">
        <f t="shared" si="63"/>
        <v>0</v>
      </c>
      <c r="L168" s="336">
        <f>+L93+L137+L167</f>
        <v>0</v>
      </c>
      <c r="M168" s="336">
        <f>+M93+M137+M167</f>
        <v>0</v>
      </c>
    </row>
    <row r="169" spans="1:13" ht="12.75">
      <c r="A169" s="177"/>
      <c r="B169" s="177"/>
      <c r="C169" s="339"/>
      <c r="D169" s="339"/>
      <c r="E169" s="339"/>
      <c r="F169" s="339"/>
      <c r="G169" s="339"/>
      <c r="H169" s="339"/>
      <c r="I169" s="339"/>
      <c r="J169" s="339"/>
      <c r="K169" s="339"/>
      <c r="L169" s="339"/>
      <c r="M169" s="339"/>
    </row>
    <row r="170" spans="1:13" ht="12.75">
      <c r="A170" s="177"/>
      <c r="B170" s="177"/>
      <c r="C170" s="339"/>
      <c r="D170" s="339"/>
      <c r="E170" s="339"/>
      <c r="F170" s="339"/>
      <c r="G170" s="339"/>
      <c r="H170" s="339"/>
      <c r="I170" s="339"/>
      <c r="J170" s="339"/>
      <c r="K170" s="339"/>
      <c r="L170" s="339"/>
      <c r="M170" s="339"/>
    </row>
    <row r="171" spans="1:13" ht="12.75">
      <c r="A171" s="184" t="s">
        <v>364</v>
      </c>
      <c r="B171" s="185"/>
      <c r="C171" s="170">
        <f>+C7</f>
        <v>2016</v>
      </c>
      <c r="D171" s="170">
        <f aca="true" t="shared" si="64" ref="D171:M171">+C171+1</f>
        <v>2017</v>
      </c>
      <c r="E171" s="170">
        <f t="shared" si="64"/>
        <v>2018</v>
      </c>
      <c r="F171" s="170">
        <f t="shared" si="64"/>
        <v>2019</v>
      </c>
      <c r="G171" s="170">
        <f t="shared" si="64"/>
        <v>2020</v>
      </c>
      <c r="H171" s="170">
        <f t="shared" si="64"/>
        <v>2021</v>
      </c>
      <c r="I171" s="170">
        <f t="shared" si="64"/>
        <v>2022</v>
      </c>
      <c r="J171" s="170">
        <f t="shared" si="64"/>
        <v>2023</v>
      </c>
      <c r="K171" s="170">
        <f t="shared" si="64"/>
        <v>2024</v>
      </c>
      <c r="L171" s="170">
        <f t="shared" si="64"/>
        <v>2025</v>
      </c>
      <c r="M171" s="170">
        <f t="shared" si="64"/>
        <v>2026</v>
      </c>
    </row>
    <row r="172" spans="1:13" ht="12.75">
      <c r="A172" s="338" t="s">
        <v>256</v>
      </c>
      <c r="B172" s="172"/>
      <c r="C172" s="340">
        <f>+C93</f>
        <v>0</v>
      </c>
      <c r="D172" s="340">
        <f>+SUM($C93:D93)</f>
        <v>0</v>
      </c>
      <c r="E172" s="340">
        <f>+SUM($C93:E93)</f>
        <v>0</v>
      </c>
      <c r="F172" s="340">
        <f>+SUM($C93:F93)</f>
        <v>0</v>
      </c>
      <c r="G172" s="340">
        <f>+SUM($C93:G93)</f>
        <v>0</v>
      </c>
      <c r="H172" s="340">
        <f>+SUM($C93:H93)</f>
        <v>0</v>
      </c>
      <c r="I172" s="340">
        <f>+SUM($C93:I93)</f>
        <v>0</v>
      </c>
      <c r="J172" s="340">
        <f>+SUM($C93:J93)</f>
        <v>0</v>
      </c>
      <c r="K172" s="340">
        <f>+SUM($C93:K93)</f>
        <v>0</v>
      </c>
      <c r="L172" s="340">
        <f>+SUM($C93:L93)</f>
        <v>0</v>
      </c>
      <c r="M172" s="340">
        <f>+SUM($C93:M93)</f>
        <v>0</v>
      </c>
    </row>
    <row r="173" spans="1:13" ht="12.75">
      <c r="A173" s="338" t="s">
        <v>261</v>
      </c>
      <c r="B173" s="172"/>
      <c r="C173" s="340">
        <f>+C137</f>
        <v>0</v>
      </c>
      <c r="D173" s="340">
        <f>+SUM(C137:D137)</f>
        <v>0</v>
      </c>
      <c r="E173" s="340">
        <f>+D173+E137</f>
        <v>0</v>
      </c>
      <c r="F173" s="340">
        <f aca="true" t="shared" si="65" ref="F173:M173">+E173+F137</f>
        <v>0</v>
      </c>
      <c r="G173" s="340">
        <f t="shared" si="65"/>
        <v>0</v>
      </c>
      <c r="H173" s="340">
        <f t="shared" si="65"/>
        <v>0</v>
      </c>
      <c r="I173" s="340">
        <f t="shared" si="65"/>
        <v>0</v>
      </c>
      <c r="J173" s="340">
        <f t="shared" si="65"/>
        <v>0</v>
      </c>
      <c r="K173" s="340">
        <f t="shared" si="65"/>
        <v>0</v>
      </c>
      <c r="L173" s="340">
        <f t="shared" si="65"/>
        <v>0</v>
      </c>
      <c r="M173" s="340">
        <f t="shared" si="65"/>
        <v>0</v>
      </c>
    </row>
    <row r="174" spans="1:13" ht="12.75">
      <c r="A174" s="338" t="s">
        <v>308</v>
      </c>
      <c r="B174" s="172"/>
      <c r="C174" s="340">
        <f>+C167</f>
        <v>0</v>
      </c>
      <c r="D174" s="340">
        <f>+SUM(C167:D167)</f>
        <v>0</v>
      </c>
      <c r="E174" s="340">
        <f>+D174+E167</f>
        <v>0</v>
      </c>
      <c r="F174" s="340">
        <f aca="true" t="shared" si="66" ref="F174:M174">+E174+F167</f>
        <v>0</v>
      </c>
      <c r="G174" s="340">
        <f t="shared" si="66"/>
        <v>0</v>
      </c>
      <c r="H174" s="340">
        <f t="shared" si="66"/>
        <v>0</v>
      </c>
      <c r="I174" s="340">
        <f t="shared" si="66"/>
        <v>0</v>
      </c>
      <c r="J174" s="340">
        <f t="shared" si="66"/>
        <v>0</v>
      </c>
      <c r="K174" s="340">
        <f t="shared" si="66"/>
        <v>0</v>
      </c>
      <c r="L174" s="340">
        <f t="shared" si="66"/>
        <v>0</v>
      </c>
      <c r="M174" s="340">
        <f t="shared" si="66"/>
        <v>0</v>
      </c>
    </row>
    <row r="175" spans="1:13" ht="12.75">
      <c r="A175" s="538" t="s">
        <v>46</v>
      </c>
      <c r="B175" s="539"/>
      <c r="C175" s="175">
        <f>+C172+C173+C174</f>
        <v>0</v>
      </c>
      <c r="D175" s="175">
        <f>+D172+D173+D174</f>
        <v>0</v>
      </c>
      <c r="E175" s="175">
        <f>+E172+E173+E174</f>
        <v>0</v>
      </c>
      <c r="F175" s="175">
        <f aca="true" t="shared" si="67" ref="F175:K175">+F172+F173+F174</f>
        <v>0</v>
      </c>
      <c r="G175" s="175">
        <f t="shared" si="67"/>
        <v>0</v>
      </c>
      <c r="H175" s="175">
        <f t="shared" si="67"/>
        <v>0</v>
      </c>
      <c r="I175" s="175">
        <f t="shared" si="67"/>
        <v>0</v>
      </c>
      <c r="J175" s="175">
        <f t="shared" si="67"/>
        <v>0</v>
      </c>
      <c r="K175" s="175">
        <f t="shared" si="67"/>
        <v>0</v>
      </c>
      <c r="L175" s="175">
        <f>+L172+L173+L174</f>
        <v>0</v>
      </c>
      <c r="M175" s="175">
        <f>+M172+M173+M174</f>
        <v>0</v>
      </c>
    </row>
    <row r="176" spans="1:13" ht="12.75">
      <c r="A176" s="177"/>
      <c r="B176" s="177"/>
      <c r="C176" s="339"/>
      <c r="D176" s="339"/>
      <c r="E176" s="339"/>
      <c r="F176" s="339"/>
      <c r="G176" s="339"/>
      <c r="H176" s="339"/>
      <c r="I176" s="339"/>
      <c r="J176" s="339"/>
      <c r="K176" s="339"/>
      <c r="L176" s="339"/>
      <c r="M176" s="339"/>
    </row>
    <row r="177" spans="1:13" ht="12.75">
      <c r="A177" s="177"/>
      <c r="B177" s="177"/>
      <c r="C177" s="339"/>
      <c r="D177" s="339"/>
      <c r="E177" s="339"/>
      <c r="F177" s="339"/>
      <c r="G177" s="339"/>
      <c r="H177" s="339"/>
      <c r="I177" s="339"/>
      <c r="J177" s="339"/>
      <c r="K177" s="339"/>
      <c r="L177" s="339"/>
      <c r="M177" s="339"/>
    </row>
    <row r="178" spans="1:13" ht="12.75">
      <c r="A178" s="184" t="s">
        <v>363</v>
      </c>
      <c r="B178" s="185"/>
      <c r="C178" s="170">
        <f>+C7</f>
        <v>2016</v>
      </c>
      <c r="D178" s="170">
        <f aca="true" t="shared" si="68" ref="D178:M178">+C178+1</f>
        <v>2017</v>
      </c>
      <c r="E178" s="170">
        <f t="shared" si="68"/>
        <v>2018</v>
      </c>
      <c r="F178" s="170">
        <f t="shared" si="68"/>
        <v>2019</v>
      </c>
      <c r="G178" s="170">
        <f t="shared" si="68"/>
        <v>2020</v>
      </c>
      <c r="H178" s="170">
        <f t="shared" si="68"/>
        <v>2021</v>
      </c>
      <c r="I178" s="170">
        <f t="shared" si="68"/>
        <v>2022</v>
      </c>
      <c r="J178" s="170">
        <f t="shared" si="68"/>
        <v>2023</v>
      </c>
      <c r="K178" s="170">
        <f t="shared" si="68"/>
        <v>2024</v>
      </c>
      <c r="L178" s="170">
        <f t="shared" si="68"/>
        <v>2025</v>
      </c>
      <c r="M178" s="170">
        <f t="shared" si="68"/>
        <v>2026</v>
      </c>
    </row>
    <row r="179" spans="1:13" ht="12.75">
      <c r="A179" s="338" t="s">
        <v>256</v>
      </c>
      <c r="B179" s="172"/>
      <c r="C179" s="340">
        <f>+C38-C172</f>
        <v>0</v>
      </c>
      <c r="D179" s="340">
        <f>+D38-D172</f>
        <v>0</v>
      </c>
      <c r="E179" s="340">
        <f>+E38-E172</f>
        <v>0</v>
      </c>
      <c r="F179" s="340">
        <f aca="true" t="shared" si="69" ref="F179:K179">+F38-F172</f>
        <v>0</v>
      </c>
      <c r="G179" s="340">
        <f t="shared" si="69"/>
        <v>0</v>
      </c>
      <c r="H179" s="340">
        <f t="shared" si="69"/>
        <v>0</v>
      </c>
      <c r="I179" s="340">
        <f t="shared" si="69"/>
        <v>0</v>
      </c>
      <c r="J179" s="340">
        <f t="shared" si="69"/>
        <v>0</v>
      </c>
      <c r="K179" s="340">
        <f t="shared" si="69"/>
        <v>0</v>
      </c>
      <c r="L179" s="340">
        <f>+L38-L172</f>
        <v>0</v>
      </c>
      <c r="M179" s="340">
        <f>+M38-M172</f>
        <v>0</v>
      </c>
    </row>
    <row r="180" spans="1:13" ht="12.75">
      <c r="A180" s="338" t="s">
        <v>261</v>
      </c>
      <c r="B180" s="172"/>
      <c r="C180" s="340">
        <f>+C47-C173</f>
        <v>0</v>
      </c>
      <c r="D180" s="340">
        <f>+D47-D173</f>
        <v>0</v>
      </c>
      <c r="E180" s="340">
        <f>+E47-E173</f>
        <v>0</v>
      </c>
      <c r="F180" s="340">
        <f aca="true" t="shared" si="70" ref="F180:K180">+F47-F173</f>
        <v>0</v>
      </c>
      <c r="G180" s="340">
        <f t="shared" si="70"/>
        <v>0</v>
      </c>
      <c r="H180" s="340">
        <f t="shared" si="70"/>
        <v>0</v>
      </c>
      <c r="I180" s="340">
        <f t="shared" si="70"/>
        <v>0</v>
      </c>
      <c r="J180" s="340">
        <f t="shared" si="70"/>
        <v>0</v>
      </c>
      <c r="K180" s="340">
        <f t="shared" si="70"/>
        <v>0</v>
      </c>
      <c r="L180" s="340">
        <f>+L47-L173</f>
        <v>0</v>
      </c>
      <c r="M180" s="340">
        <f>+M47-M173</f>
        <v>0</v>
      </c>
    </row>
    <row r="181" spans="1:13" ht="12.75">
      <c r="A181" s="338" t="s">
        <v>308</v>
      </c>
      <c r="B181" s="172"/>
      <c r="C181" s="340">
        <f>+C54-C174</f>
        <v>0</v>
      </c>
      <c r="D181" s="340">
        <f>+D54-D174</f>
        <v>0</v>
      </c>
      <c r="E181" s="340">
        <f>+E54-E174</f>
        <v>0</v>
      </c>
      <c r="F181" s="340">
        <f aca="true" t="shared" si="71" ref="F181:K181">+F54-F174</f>
        <v>0</v>
      </c>
      <c r="G181" s="340">
        <f t="shared" si="71"/>
        <v>0</v>
      </c>
      <c r="H181" s="340">
        <f t="shared" si="71"/>
        <v>0</v>
      </c>
      <c r="I181" s="340">
        <f t="shared" si="71"/>
        <v>0</v>
      </c>
      <c r="J181" s="340">
        <f t="shared" si="71"/>
        <v>0</v>
      </c>
      <c r="K181" s="340">
        <f t="shared" si="71"/>
        <v>0</v>
      </c>
      <c r="L181" s="340">
        <f>+L54-L174</f>
        <v>0</v>
      </c>
      <c r="M181" s="340">
        <f>+M54-M174</f>
        <v>0</v>
      </c>
    </row>
    <row r="182" spans="1:13" ht="12.75">
      <c r="A182" s="538" t="s">
        <v>46</v>
      </c>
      <c r="B182" s="539"/>
      <c r="C182" s="175">
        <f>+C179+C180+C181</f>
        <v>0</v>
      </c>
      <c r="D182" s="175">
        <f>+D179+D180+D181</f>
        <v>0</v>
      </c>
      <c r="E182" s="175">
        <f>+E179+E180+E181</f>
        <v>0</v>
      </c>
      <c r="F182" s="175">
        <f aca="true" t="shared" si="72" ref="F182:K182">+F179+F180+F181</f>
        <v>0</v>
      </c>
      <c r="G182" s="175">
        <f t="shared" si="72"/>
        <v>0</v>
      </c>
      <c r="H182" s="175">
        <f t="shared" si="72"/>
        <v>0</v>
      </c>
      <c r="I182" s="175">
        <f t="shared" si="72"/>
        <v>0</v>
      </c>
      <c r="J182" s="175">
        <f t="shared" si="72"/>
        <v>0</v>
      </c>
      <c r="K182" s="175">
        <f t="shared" si="72"/>
        <v>0</v>
      </c>
      <c r="L182" s="175">
        <f>+L179+L180+L181</f>
        <v>0</v>
      </c>
      <c r="M182" s="175">
        <f>+M179+M180+M181</f>
        <v>0</v>
      </c>
    </row>
  </sheetData>
  <sheetProtection password="8318" sheet="1"/>
  <mergeCells count="18">
    <mergeCell ref="A167:B167"/>
    <mergeCell ref="A182:B182"/>
    <mergeCell ref="A175:B175"/>
    <mergeCell ref="A168:B168"/>
    <mergeCell ref="A29:B29"/>
    <mergeCell ref="A55:B55"/>
    <mergeCell ref="A137:B137"/>
    <mergeCell ref="A38:B38"/>
    <mergeCell ref="A47:B47"/>
    <mergeCell ref="A54:B54"/>
    <mergeCell ref="A4:M4"/>
    <mergeCell ref="A28:B28"/>
    <mergeCell ref="A21:B21"/>
    <mergeCell ref="A12:B12"/>
    <mergeCell ref="A93:B93"/>
    <mergeCell ref="A7:B7"/>
    <mergeCell ref="A33:B33"/>
    <mergeCell ref="A58:C58"/>
  </mergeCells>
  <printOptions horizontalCentered="1"/>
  <pageMargins left="0.75" right="0.75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ignoredErrors>
    <ignoredError sqref="C71:C7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SBI Consulting</dc:creator>
  <cp:keywords/>
  <dc:description/>
  <cp:lastModifiedBy>Americo Andre Marco</cp:lastModifiedBy>
  <cp:lastPrinted>2010-02-23T17:34:21Z</cp:lastPrinted>
  <dcterms:created xsi:type="dcterms:W3CDTF">2004-06-30T10:12:30Z</dcterms:created>
  <dcterms:modified xsi:type="dcterms:W3CDTF">2016-07-28T17:43:15Z</dcterms:modified>
  <cp:category/>
  <cp:version/>
  <cp:contentType/>
  <cp:contentStatus/>
</cp:coreProperties>
</file>