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60" windowWidth="15360" windowHeight="7680" tabRatio="797" firstSheet="13" activeTab="16"/>
  </bookViews>
  <sheets>
    <sheet name="CAPA" sheetId="1" r:id="rId1"/>
    <sheet name="Regras de Utilização" sheetId="2" r:id="rId2"/>
    <sheet name="Pressupostos" sheetId="3" r:id="rId3"/>
    <sheet name="VN" sheetId="4" r:id="rId4"/>
    <sheet name="CMVMC" sheetId="5" r:id="rId5"/>
    <sheet name="FSE" sheetId="6" r:id="rId6"/>
    <sheet name="Gastos com Pessoal" sheetId="7" r:id="rId7"/>
    <sheet name="FundoManeio" sheetId="8" r:id="rId8"/>
    <sheet name="Investimento" sheetId="9" r:id="rId9"/>
    <sheet name="Financiamento" sheetId="10" r:id="rId10"/>
    <sheet name="Ponto Crítico" sheetId="11" r:id="rId11"/>
    <sheet name="DR" sheetId="12" r:id="rId12"/>
    <sheet name="Cash Flow" sheetId="13" r:id="rId13"/>
    <sheet name="PlanoFinanceiro" sheetId="14" r:id="rId14"/>
    <sheet name="Balanço" sheetId="15" r:id="rId15"/>
    <sheet name="Indicadores" sheetId="16" r:id="rId16"/>
    <sheet name="Avaliação" sheetId="17" r:id="rId17"/>
    <sheet name="Calculos Auxil- livre" sheetId="18" r:id="rId18"/>
    <sheet name="F livre" sheetId="19" r:id="rId19"/>
  </sheets>
  <externalReferences>
    <externalReference r:id="rId22"/>
    <externalReference r:id="rId23"/>
    <externalReference r:id="rId24"/>
  </externalReferences>
  <definedNames>
    <definedName name="anscount" hidden="1">1</definedName>
    <definedName name="_xlnm.Print_Area" localSheetId="16">'Avaliação'!$A$1:$I$76</definedName>
    <definedName name="_xlnm.Print_Area" localSheetId="14">'Balanço'!$A$1:$H$51</definedName>
    <definedName name="_xlnm.Print_Area" localSheetId="17">'Calculos Auxil- livre'!$A$1:$H$91</definedName>
    <definedName name="_xlnm.Print_Area" localSheetId="12">'Cash Flow'!$A$1:$H$23</definedName>
    <definedName name="_xlnm.Print_Area" localSheetId="4">'CMVMC'!$A$1:$H$29</definedName>
    <definedName name="_xlnm.Print_Area" localSheetId="11">'DR'!$A$1:$G$32</definedName>
    <definedName name="_xlnm.Print_Area" localSheetId="9">'Financiamento'!$A$1:$H$104</definedName>
    <definedName name="_xlnm.Print_Area" localSheetId="5">'FSE'!$A$1:$K$53</definedName>
    <definedName name="_xlnm.Print_Area" localSheetId="7">'FundoManeio'!$A$1:$H$27</definedName>
    <definedName name="_xlnm.Print_Area" localSheetId="6">'Gastos com Pessoal'!$A$1:$I$102</definedName>
    <definedName name="_xlnm.Print_Area" localSheetId="15">'Indicadores'!$A$1:$G$28</definedName>
    <definedName name="_xlnm.Print_Area" localSheetId="8">'Investimento'!$A$1:$H$168</definedName>
    <definedName name="_xlnm.Print_Area" localSheetId="13">'PlanoFinanceiro'!$A$1:$H$35</definedName>
    <definedName name="_xlnm.Print_Area" localSheetId="10">'Ponto Crítico'!$A$1:$G$13</definedName>
    <definedName name="_xlnm.Print_Area" localSheetId="2">'Pressupostos'!$A$1:$E$45</definedName>
    <definedName name="_xlnm.Print_Area" localSheetId="1">'Regras de Utilização'!$B$1:$C$37</definedName>
    <definedName name="_xlnm.Print_Area" localSheetId="3">'VN'!$A$1:$H$88</definedName>
    <definedName name="Bu">'[1]INPUT'!$B$10</definedName>
    <definedName name="DC">'[1]INPUT'!$B$8</definedName>
    <definedName name="EXHIBIT_01">#REF!</definedName>
    <definedName name="EXHIBIT_02" localSheetId="17">#REF!</definedName>
    <definedName name="EXHIBIT_02" localSheetId="10">#REF!</definedName>
    <definedName name="EXHIBIT_02">#REF!</definedName>
    <definedName name="EXHIBIT_05" localSheetId="17">#REF!</definedName>
    <definedName name="EXHIBIT_05" localSheetId="10">#REF!</definedName>
    <definedName name="EXHIBIT_05">#REF!</definedName>
    <definedName name="EXHIBIT_06" localSheetId="17">#REF!</definedName>
    <definedName name="EXHIBIT_06" localSheetId="10">#REF!</definedName>
    <definedName name="EXHIBIT_06">#REF!</definedName>
    <definedName name="EXHIBIT_07" localSheetId="17">#REF!</definedName>
    <definedName name="EXHIBIT_07" localSheetId="10">#REF!</definedName>
    <definedName name="EXHIBIT_07">#REF!</definedName>
    <definedName name="EXHIBIT_08" localSheetId="17">#REF!</definedName>
    <definedName name="EXHIBIT_08" localSheetId="10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9">'Financiamento'!$1:$6</definedName>
    <definedName name="_xlnm.Print_Titles" localSheetId="6">'Gastos com Pessoal'!$1:$4</definedName>
    <definedName name="_xlnm.Print_Titles" localSheetId="3">'VN'!$1:$5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<sst xmlns="http://schemas.openxmlformats.org/spreadsheetml/2006/main" count="725" uniqueCount="507">
  <si>
    <t>CF</t>
  </si>
  <si>
    <t>CF Acum</t>
  </si>
  <si>
    <t xml:space="preserve">Preço Unitário </t>
  </si>
  <si>
    <t>Anos</t>
  </si>
  <si>
    <t>Pressupostos Gerais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</si>
  <si>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</si>
  <si>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</si>
  <si>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</si>
  <si>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</si>
  <si>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</si>
  <si>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</si>
  <si>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</si>
  <si>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</si>
  <si>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</si>
  <si>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</si>
  <si>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</si>
  <si>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</si>
  <si>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</si>
  <si>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</si>
  <si>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</si>
  <si>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</si>
  <si>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</si>
  <si>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</si>
  <si>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</si>
  <si>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</si>
  <si>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</si>
  <si>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</si>
  <si>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Comunicação</t>
  </si>
  <si>
    <t>Seguros</t>
  </si>
  <si>
    <t>Honorários</t>
  </si>
  <si>
    <t xml:space="preserve">Formação </t>
  </si>
  <si>
    <t>TOTAL</t>
  </si>
  <si>
    <t>Proveitos Financeiros</t>
  </si>
  <si>
    <t>Clientes</t>
  </si>
  <si>
    <t>Estado</t>
  </si>
  <si>
    <t>PASSIVO</t>
  </si>
  <si>
    <t>TOTAL PASSIVO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</si>
  <si>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</si>
  <si>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</si>
  <si>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</si>
  <si>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</si>
  <si>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</si>
  <si>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</si>
  <si>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</si>
  <si>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</si>
  <si>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</si>
  <si>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</si>
  <si>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</si>
  <si>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</si>
  <si>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</si>
  <si>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</si>
  <si>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</si>
  <si>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</si>
  <si>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Valor Mensal</t>
  </si>
  <si>
    <t>Segurança Social</t>
  </si>
  <si>
    <t>QUADRO RESUMO</t>
  </si>
  <si>
    <t>Necessidades Fundo Maneio</t>
  </si>
  <si>
    <t>Recursos Fundo Maneio</t>
  </si>
  <si>
    <t>Investimento em Fundo de Maneio</t>
  </si>
  <si>
    <t xml:space="preserve">   Fundo de Maneio</t>
  </si>
  <si>
    <t xml:space="preserve">   Capital Fixo</t>
  </si>
  <si>
    <t>Taxa de IRC</t>
  </si>
  <si>
    <t>CASH FLOW de Exploração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</si>
  <si>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</si>
  <si>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</si>
  <si>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</si>
  <si>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</si>
  <si>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</si>
  <si>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</si>
  <si>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</si>
  <si>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</si>
  <si>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</si>
  <si>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</si>
  <si>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</si>
  <si>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</si>
  <si>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</si>
  <si>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</si>
  <si>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Meios Libertos</t>
  </si>
  <si>
    <t>Saldo de Tesouraria Acumulado</t>
  </si>
  <si>
    <t>Soma Controlo</t>
  </si>
  <si>
    <t>Reembolso</t>
  </si>
  <si>
    <t>Taxa de Crescimento do Negócio</t>
  </si>
  <si>
    <t>INDICADORES ECONÓMICOS</t>
  </si>
  <si>
    <t>INDICADORES FINANCEIROS</t>
  </si>
  <si>
    <t>INDICADORES DE LIQUIDEZ</t>
  </si>
  <si>
    <t>Return On Investment (ROI)</t>
  </si>
  <si>
    <t>Rendibilidade dos Capitais Próprios (ROE)</t>
  </si>
  <si>
    <t>Free Cash Flow to Firm</t>
  </si>
  <si>
    <t>Passos para preenchimento:</t>
  </si>
  <si>
    <t>Principais regras de utilização:</t>
  </si>
  <si>
    <t>Tx IVA</t>
  </si>
  <si>
    <t>Produto C *</t>
  </si>
  <si>
    <t>Produto D *</t>
  </si>
  <si>
    <t>IVA VENDAS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</si>
  <si>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</si>
  <si>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</si>
  <si>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</si>
  <si>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</si>
  <si>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</si>
  <si>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</si>
  <si>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</si>
  <si>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</si>
  <si>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</si>
  <si>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</si>
  <si>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</si>
  <si>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</si>
  <si>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</si>
  <si>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Empréstimos Obtidos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</si>
  <si>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</si>
  <si>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</si>
  <si>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</si>
  <si>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</si>
  <si>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</si>
  <si>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</si>
  <si>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</si>
  <si>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</si>
  <si>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Regras de utilização</t>
  </si>
  <si>
    <t>Fundo Maneio Necessário</t>
  </si>
  <si>
    <t>* A considerar caso seja necessário</t>
  </si>
  <si>
    <t>CAPITAL PRÓPRIO</t>
  </si>
  <si>
    <t>TOTAL PASSIVO + CAPITAIS PRÓPRIOS</t>
  </si>
  <si>
    <t>Grau de Alavanca Operacional</t>
  </si>
  <si>
    <t>Capital Próprio</t>
  </si>
  <si>
    <t>Euros</t>
  </si>
  <si>
    <t>MERCADO NACIONAL</t>
  </si>
  <si>
    <t>MERCADO EXTERNO</t>
  </si>
  <si>
    <t>Qualidade</t>
  </si>
  <si>
    <t>Manutenção</t>
  </si>
  <si>
    <t>Aprovisionamento</t>
  </si>
  <si>
    <t>Outros</t>
  </si>
  <si>
    <t>Total Investimento</t>
  </si>
  <si>
    <t>Taxa de Aplicações Financeiras Curto Prazo</t>
  </si>
  <si>
    <t>Taxa de IVA - Investimento</t>
  </si>
  <si>
    <t>% Capital Próprio</t>
  </si>
  <si>
    <t>Passivo Remunerado</t>
  </si>
  <si>
    <t>ESTADO</t>
  </si>
  <si>
    <t>SS</t>
  </si>
  <si>
    <t>IRS</t>
  </si>
  <si>
    <t>Propriedades de investimento</t>
  </si>
  <si>
    <t>Edificios e Outras construções</t>
  </si>
  <si>
    <t>Outras propriedades de investimento</t>
  </si>
  <si>
    <t>Activos fixos tangíveis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</si>
  <si>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</si>
  <si>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</si>
  <si>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</si>
  <si>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</si>
  <si>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</si>
  <si>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</si>
  <si>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</si>
  <si>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RESULTADO LÍQUIDO DO PERÍODO</t>
  </si>
  <si>
    <t>Subsídios à Exploração</t>
  </si>
  <si>
    <t>EBIT (Resultado Operacional)</t>
  </si>
  <si>
    <t>RESULTADO ANTES DE IMPOSTOS</t>
  </si>
  <si>
    <t>Capital realizado</t>
  </si>
  <si>
    <t>TOTAL DO CAPITAL PRÓPRIO</t>
  </si>
  <si>
    <t>Provisões</t>
  </si>
  <si>
    <t>Activos Intangíveis</t>
  </si>
  <si>
    <t>Inventários</t>
  </si>
  <si>
    <t>Diferimentos</t>
  </si>
  <si>
    <t>Goodwill</t>
  </si>
  <si>
    <t>Projectos de desenvolvimento</t>
  </si>
  <si>
    <t>Programas de computador</t>
  </si>
  <si>
    <t>Propriedade industrial</t>
  </si>
  <si>
    <t>Outros activos intangíveis</t>
  </si>
  <si>
    <t>Materiais</t>
  </si>
  <si>
    <t>Combustíveis</t>
  </si>
  <si>
    <t>Água</t>
  </si>
  <si>
    <t>Deslocações e Estadas</t>
  </si>
  <si>
    <t>Remunerações</t>
  </si>
  <si>
    <t>Órgãos Sociais</t>
  </si>
  <si>
    <t>Outros Gastos</t>
  </si>
  <si>
    <t>TOTAL OUTROS GASTOS</t>
  </si>
  <si>
    <t>TOTAL GASTOS COM PESSOAL</t>
  </si>
  <si>
    <t xml:space="preserve">Total </t>
  </si>
  <si>
    <t xml:space="preserve">Capital </t>
  </si>
  <si>
    <t>Depreciações e amortizações</t>
  </si>
  <si>
    <t>Edificios e Outras Construções</t>
  </si>
  <si>
    <t>Comissões &amp; Prémios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</si>
  <si>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</si>
  <si>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</si>
  <si>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</si>
  <si>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</si>
  <si>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</si>
  <si>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 xml:space="preserve">Valores Acumulados </t>
  </si>
  <si>
    <t>Valores Balanço</t>
  </si>
  <si>
    <t>Reservas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</si>
  <si>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</si>
  <si>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</si>
  <si>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</si>
  <si>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</si>
  <si>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</si>
  <si>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</si>
  <si>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</si>
  <si>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</si>
  <si>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</si>
  <si>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</si>
  <si>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</si>
  <si>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</si>
  <si>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Valor do consumo 2*</t>
  </si>
  <si>
    <t>Liquidez Corrente</t>
  </si>
  <si>
    <t>Grau de Alavanca Financeira</t>
  </si>
  <si>
    <t>NOTA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</si>
  <si>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</si>
  <si>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</si>
  <si>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</si>
  <si>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</si>
  <si>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</si>
  <si>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</si>
  <si>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</si>
  <si>
    <t>Valor Residual ano N</t>
  </si>
  <si>
    <t>ou</t>
  </si>
  <si>
    <t>-</t>
  </si>
  <si>
    <t xml:space="preserve"> = ano em que inicia o investimento e poderá ou não haver exploração</t>
  </si>
  <si>
    <t>Em função do tipo de produtos e serviços</t>
  </si>
  <si>
    <t>Em vigor no ano base</t>
  </si>
  <si>
    <t xml:space="preserve"> ' + 1. ou + 2. Por defeito    = 2.</t>
  </si>
  <si>
    <t>Modelo Financeiro                                              do Plano de Negócios</t>
  </si>
  <si>
    <t>IAPMEI</t>
  </si>
  <si>
    <t>Folha Investimento - Linha 31</t>
  </si>
  <si>
    <t>Estudos</t>
  </si>
  <si>
    <t>VAL</t>
  </si>
  <si>
    <t>TIR</t>
  </si>
  <si>
    <t>Base</t>
  </si>
  <si>
    <t>PR</t>
  </si>
  <si>
    <t>BASE</t>
  </si>
  <si>
    <t>Qv</t>
  </si>
  <si>
    <t>Preço</t>
  </si>
  <si>
    <t>Variação</t>
  </si>
  <si>
    <t>Custo ??</t>
  </si>
  <si>
    <t>VALOR RESIDUAL</t>
  </si>
  <si>
    <t>SENSIBILIDADE</t>
  </si>
  <si>
    <t>SIMULAÇÃO</t>
  </si>
  <si>
    <t>Considera-se Bu = Bu ano inicial, não influenciado por oscilações sucessivas da estrutura de capital</t>
  </si>
  <si>
    <t>Considera-se wacc t = wacc 0 u ano inicial, não influenciado por oscilações sucessivas da estrutura de capital</t>
  </si>
  <si>
    <t>Imposto Selo (4%)</t>
  </si>
  <si>
    <r>
      <rPr>
        <sz val="8"/>
        <color indexed="12"/>
        <rFont val="Arial Narrow"/>
        <family val="2"/>
      </rPr>
      <t xml:space="preserve">* </t>
    </r>
    <r>
      <rPr>
        <sz val="8"/>
        <rFont val="Arial Narrow"/>
        <family val="2"/>
      </rPr>
      <t>Rm - Rendimento esperado de mercado (entenda-se mercado acionista de referência)</t>
    </r>
  </si>
  <si>
    <t>(Para ver, abrir linha 44 até final do texto, com 2 clicks na célula)</t>
  </si>
  <si>
    <t xml:space="preserve">NOTA: A utilização desta ferramenta,  disponibilizada pelo IAPMEI,  é completamente autónoma  de  qualquer 
outra área/atividade do IAPMEI. Independentemente do fim a que se destine, a utilização da ferramenta,
 assim   como  dos  resultados  com   ela  obtidos,  é  da  inteira   responsabilidade   de   cada  utilizador.  </t>
  </si>
  <si>
    <t>Para a melhor utilização do presente modelo, o empreendedor deverá dominar conceitos básicos de análise económica e financeira ou, não sendo esse o caso, deverá explorar as potencialidades do presente modelo acompanhado por alguém conhecedor desses conceitos. Por outro lado, este modelo Económico-Financeiro deverá ser acompanhado de informação qualitativa detalhada sobre o projeto e de explicação dos pressupostos de cálculos efetuados.</t>
  </si>
  <si>
    <r>
      <t>Ü</t>
    </r>
    <r>
      <rPr>
        <sz val="10"/>
        <rFont val="Arial Narrow"/>
        <family val="2"/>
      </rPr>
      <t xml:space="preserve"> Os valores que se encontrem a azul poderão ser alterados, mas dentro dos mesmos parâmetros;</t>
    </r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</si>
  <si>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utilizador, no que diz respeito à previsão de proveitos e de custos;</t>
    </r>
  </si>
  <si>
    <r>
      <t>Ü</t>
    </r>
    <r>
      <rPr>
        <sz val="10"/>
        <rFont val="Arial Narrow"/>
        <family val="2"/>
      </rPr>
      <t xml:space="preserve"> No caso de pretender efetuar uma análise de sensibilidade, utilize este mesmo modelo, mas com diferentes valores.</t>
    </r>
  </si>
  <si>
    <r>
      <t xml:space="preserve">Colocar o nome da empresa na célula E1 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de Pressupostos.</t>
    </r>
  </si>
  <si>
    <t>Estimar o volume de negócios da empresa, através das quantidades vendidas, preço de venda dos produtos e de prestação de serviços. Caso pretenda, utilize a folha de cálculo anexa e faça apenas as respetivas ligações, de acordo com a classificação contabilística do seu volume de negócios.</t>
  </si>
  <si>
    <r>
      <t xml:space="preserve">Colocar 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CMVMC, na célula correspondente, as margens brutas de negócio para cada um dos produtos vendidos.</t>
    </r>
  </si>
  <si>
    <r>
      <t xml:space="preserve">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FSE, estimar um valor médio mensal para cada umas das rubricas que se adaptem à empresa/negócio.</t>
    </r>
  </si>
  <si>
    <r>
      <t xml:space="preserve">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Gastos com Pessoal, definir os colaboradores (Gerência e Pessoal) da empresa e respetivas remunerações brutas mensais. Para além disto, definir, caso se aplique, um valor para a formação e outros custos com pessoal.</t>
    </r>
  </si>
  <si>
    <r>
      <t xml:space="preserve">Posteriormente, definir o quadro de investimento da empresa/projeto 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de Investimentos, repartida pelas diferentes rubricas de investimento em ativo fixo.</t>
    </r>
  </si>
  <si>
    <r>
      <t xml:space="preserve">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de Fundo Maneio, definir a Reserva de Segurança de Tesouraria. Esta rubrica representa um valor mínimo de disponibilidades a manter ao longo do projeto.</t>
    </r>
  </si>
  <si>
    <r>
      <t xml:space="preserve">Após a definição de todos estes pressupostos, tem que definir a forma de financiamento do projeto 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Financiamento. Deverá indicar o valor de capital social inicial e eventuais aumentos, bem como o nível de suprimentos da empresa e/ou o valor dos empréstimos bancários.</t>
    </r>
  </si>
  <si>
    <r>
      <t xml:space="preserve">Os </t>
    </r>
    <r>
      <rPr>
        <i/>
        <sz val="10"/>
        <rFont val="Arial Narrow"/>
        <family val="2"/>
      </rPr>
      <t>inputs</t>
    </r>
    <r>
      <rPr>
        <sz val="10"/>
        <rFont val="Arial Narrow"/>
        <family val="2"/>
      </rPr>
      <t xml:space="preserve"> do modelo estão inseridos, sendo necessário apenas fazer o acerto de disponibilidades. Assim sendo, 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de Plano Financeiro, carregar no retângulo que indica 'Acerto do modelo'.</t>
    </r>
  </si>
  <si>
    <r>
      <t xml:space="preserve">No caso de pretender considerar um número superior de produtos ou serviços do que os previstos 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VN, recomenda-se:
a) Copiar 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VN para uma folha desprotegida, em que poderá considerar todos os produtos;
b) Colocar o valor total dos produtos para o mercado interno em VN - Produto A, e o valor total de produtos exportados em Exportações - Produto A.</t>
    </r>
  </si>
  <si>
    <t>Aconselha-se considerar as Imparidades em 0%, pelas implicações a nível de interpretação, já que apenas serão contabilizadas imparidades sobre Clientes com consequência no valor do Fundo de Maneio.</t>
  </si>
  <si>
    <r>
      <t xml:space="preserve">Para calcular depreciações/amortizações pelo método de quota anual, manter 12 (meses) em cada um dos anos 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de Investimento, Linha 31, incluindo no ano de investimento.
Pelo método de quota mensal (considera o número de meses contados a partir da entrada em produção/utilização dos ativos), colocar o número de meses de produção em cada um dos dois primeiros anos (</t>
    </r>
    <r>
      <rPr>
        <u val="single"/>
        <sz val="10"/>
        <rFont val="Arial Narrow"/>
        <family val="2"/>
      </rPr>
      <t>&gt;0 no ano2</t>
    </r>
    <r>
      <rPr>
        <sz val="10"/>
        <rFont val="Arial Narrow"/>
        <family val="2"/>
      </rPr>
      <t xml:space="preserve">) - </t>
    </r>
    <r>
      <rPr>
        <b/>
        <sz val="10"/>
        <rFont val="Arial Narrow"/>
        <family val="2"/>
      </rPr>
      <t xml:space="preserve"> Folha Investimento Linha 31</t>
    </r>
  </si>
  <si>
    <r>
      <t xml:space="preserve">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Financiamento, é possível considerar valores positivos (aumentos) ou valor negativos (reembolsos) para as rubricas:
* Outros instrumentos de capital (+/-)   
* Empréstimos de Sócios (+) ou Reembolsos a Sócios (-)
* Financiamento bancário e outras Instituições de Crédito
 * Subsídios (+/-)</t>
    </r>
  </si>
  <si>
    <r>
      <t xml:space="preserve">A distribuição de dividendos poderá ser registada 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Plano Financeiro, Linha 22.</t>
    </r>
  </si>
  <si>
    <r>
      <t xml:space="preserve">No caso de empresas industriais, é aconselhado o uso da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Cálculos Auxiliares. Esta </t>
    </r>
    <r>
      <rPr>
        <i/>
        <sz val="10"/>
        <rFont val="Arial Narrow"/>
        <family val="2"/>
      </rPr>
      <t xml:space="preserve">sheet </t>
    </r>
    <r>
      <rPr>
        <sz val="10"/>
        <rFont val="Arial Narrow"/>
        <family val="2"/>
      </rPr>
      <t>constitui uma base de cálculo indispensável ao suporte previsional do modelo de projeções.</t>
    </r>
  </si>
  <si>
    <t>Valide os pressupostos aqui indicados e ajuste-os de acordo com o seu projeto</t>
  </si>
  <si>
    <t>Início da Produção ano/meses de produção (DEPRECIAÇÕES)</t>
  </si>
  <si>
    <t>A definir em função da prática da empresa e do setor, assim como da política a prosseguir.</t>
  </si>
  <si>
    <t>A definir em função da Lei e do valor dos rendimentos do trabalho.</t>
  </si>
  <si>
    <t>Definido por Lei - ter em conta a localização e condições específicas da atividade.</t>
  </si>
  <si>
    <t>Ver condições de mercado e risco da empresa na ótica bancária.</t>
  </si>
  <si>
    <t>Um valor para o prémio de risco (pº) adequado ao projeto</t>
  </si>
  <si>
    <t xml:space="preserve">Na maioria dos projetos, considerar 0% e utilizar não a perpetuidade mas sim o valor residual = valor do Ativo Fixo não Amortizado e o Valor Residual do F. Maneio no último ano. Na folha 'Avaliação' existem as 2 hipóteses. </t>
  </si>
  <si>
    <t>a) Introduzir a Margem Bruta diretamente, quando conhecida e passível de ser utilizada, ou efetuar a respetiva fórmula de cálculo;</t>
  </si>
  <si>
    <t>c) Caso não seja possível alcançar o nível do consumo de matéria-prima por produto, introduzir o valor do custo total, após a realização dos respetivos cálculos auxiliares.</t>
  </si>
  <si>
    <t>NOTA 2: Está disponível uma folha para cálculos auxiliares. Contém mapas para cálculo do CMVMC de projetos industriais.</t>
  </si>
  <si>
    <t>NOTA 1: Mapa construído caso a caso:</t>
  </si>
  <si>
    <t>Eletricidade</t>
  </si>
  <si>
    <t>Administração / Direção</t>
  </si>
  <si>
    <t>Total Ativos Fixos Tangíveis</t>
  </si>
  <si>
    <t>Ativos Intangíveis</t>
  </si>
  <si>
    <t>Total Ativos Intangíveis</t>
  </si>
  <si>
    <t>Total Depreciações e Amortizações</t>
  </si>
  <si>
    <t>Depreciações e Amortizações Acumuladas</t>
  </si>
  <si>
    <t>* Nota: se a taxa a utilizar for 33,33%, colocar mais uma casa decimal, considerando 33,333%</t>
  </si>
  <si>
    <t>Meios Libertos do Projeto</t>
  </si>
  <si>
    <t>Outros Instrumentos de Capital</t>
  </si>
  <si>
    <t>Inv. Fundo de Maneio</t>
  </si>
  <si>
    <t>Aplicações/Empréstimo Curto Prazo</t>
  </si>
  <si>
    <t>ATIVO</t>
  </si>
  <si>
    <t>Ativo Não Corrente</t>
  </si>
  <si>
    <t>TOTAL ATIVO</t>
  </si>
  <si>
    <t>Acionistas/Sócios</t>
  </si>
  <si>
    <t>INDICADORES ECONÓMICO-FINANCEIROS</t>
  </si>
  <si>
    <t>Rendibilidade do Ativo</t>
  </si>
  <si>
    <t>Rotação do Ativo</t>
  </si>
  <si>
    <t>Cobertura dos Encargos Financeiros</t>
  </si>
  <si>
    <t>INDICADORES DE RISCO DE NEGÓCIO</t>
  </si>
  <si>
    <t>Valor Atual Líquido (VAL)</t>
  </si>
  <si>
    <t>Taxa Interna de Rendibilidade</t>
  </si>
  <si>
    <t>Fluxos Atualizados</t>
  </si>
  <si>
    <t>% Passivo Remunerado</t>
  </si>
  <si>
    <t>Valor Residual = Cap. Próprio no último ano</t>
  </si>
  <si>
    <t>Avaliação do Projeto / Empresa</t>
  </si>
  <si>
    <t>Fator de Atualização</t>
  </si>
  <si>
    <t>Fluxos Atualizados Acumulados</t>
  </si>
  <si>
    <t>Taxa de Juro de Ativos Sem Risco</t>
  </si>
  <si>
    <t>Prémio de Risco de Mercado</t>
  </si>
  <si>
    <t>Consumo de Matérias-Primas 1*</t>
  </si>
  <si>
    <t>Matérias-Primas e Subsidiárias</t>
  </si>
  <si>
    <t>Preço das Matérias-Primas e Subsidiárias</t>
  </si>
  <si>
    <t xml:space="preserve">Matérias-Primas e Subsidiárias </t>
  </si>
  <si>
    <t>1* Obtido da  multiplicação da produção pelo consumo de matéria-prima por unidade de produto acabado.</t>
  </si>
  <si>
    <t>2* Obtido da multiplicação do consumo das matérias-primas pelo preço.</t>
  </si>
  <si>
    <r>
      <rPr>
        <b/>
        <sz val="10"/>
        <rFont val="Arial Narrow"/>
        <family val="2"/>
      </rPr>
      <t>Acertar Modelo</t>
    </r>
    <r>
      <rPr>
        <sz val="10"/>
        <rFont val="Arial Narrow"/>
        <family val="2"/>
      </rPr>
      <t xml:space="preserve">: Após carregamento dos dados e sempre que introduza alterações, é necessário carregar na função 'Acertar Modelo' na </t>
    </r>
    <r>
      <rPr>
        <i/>
        <sz val="10"/>
        <rFont val="Arial Narrow"/>
        <family val="2"/>
      </rPr>
      <t>sheet</t>
    </r>
    <r>
      <rPr>
        <sz val="10"/>
        <rFont val="Arial Narrow"/>
        <family val="2"/>
      </rPr>
      <t xml:space="preserve"> Plano Financeiro.   Se necessário, carregar 2 vezes em 'Acertar Modelo'.</t>
    </r>
  </si>
  <si>
    <t>Para que possa tirar partido de todas as funcionalidades do modelo, deverá confirmar se o nível de segurança das Macros está em Médio. Para isso, basta ir às 'Ferramentas' - 'Macro' - 'Segurança' e no Nível de Segurança escolher/confirmar se está no Médio. Caso não esteja, coloque a opção já indicada e feche o ficheiro. Quando reabrir, selecione 'Aceitar Macro'.</t>
  </si>
  <si>
    <t>Unidade Monetária</t>
  </si>
  <si>
    <t>Ano Inicial do Projeto (Ano 0)</t>
  </si>
  <si>
    <t>Prazo Médio de Recebimento (dias) / (meses)</t>
  </si>
  <si>
    <t>Prazo Médio de Pagamento (dias) / (meses)</t>
  </si>
  <si>
    <t>Prazo Médio de Stockagem (dias) / (meses)</t>
  </si>
  <si>
    <t>Taxa de Segurança Social - Entidade - Órgãos Sociais</t>
  </si>
  <si>
    <t>Taxa de Segurança Social - Pessoal - Órgãos Sociais</t>
  </si>
  <si>
    <t>Taxa de Segurança Social - Pessoal - Colaboradores</t>
  </si>
  <si>
    <t xml:space="preserve">Taxa Média de IRS </t>
  </si>
  <si>
    <t>Taxa de Juro de Empréstimo Curto Prazo</t>
  </si>
  <si>
    <t>Taxa de Juro de Empréstimo ML Prazo</t>
  </si>
  <si>
    <t>Taxa de Juro de Ativos Sem Risco - Rf (Obrig.Tesouro)</t>
  </si>
  <si>
    <t>Taxa de Crescimento dos Cash Flows na Perpetuidade</t>
  </si>
  <si>
    <t>Taxa de Variação dos Preços</t>
  </si>
  <si>
    <t>Quantidades Vendidas</t>
  </si>
  <si>
    <t>Taxa de Crescimento das Unidades Vendidas</t>
  </si>
  <si>
    <t>Contratos de Consultoria e Assistência Técnica</t>
  </si>
  <si>
    <t>* Produtos / Famílias de Produtos / Mercadorias</t>
  </si>
  <si>
    <t>NOTA: Caso não tenha conhecimento das quantidades, colocar o valor das vendas na linha das 'Quantidades Vendidas' e o valor 1 na linha do 'Preço Unitário'.</t>
  </si>
  <si>
    <t xml:space="preserve">Taxa de Crescimento </t>
  </si>
  <si>
    <t>Serviços Diversos Não Especificados</t>
  </si>
  <si>
    <t>Outros Serviços Diversos Não Especificados</t>
  </si>
  <si>
    <t>Perdas por Imparidade                                                                %</t>
  </si>
  <si>
    <t>b) Efetuar os cálculos auxiliares considerados necessários para alcançar o nível de matéria-prima por unidade produzida e introduzir manualmente os valores;</t>
  </si>
  <si>
    <t>Serviços Especializados</t>
  </si>
  <si>
    <t>Trabalhos Especializados</t>
  </si>
  <si>
    <t>Publicidade e Propaganda</t>
  </si>
  <si>
    <t>Vigilância e Segurança</t>
  </si>
  <si>
    <t>Conservação e Reparação</t>
  </si>
  <si>
    <t>Ferramentas e Utensílios de Desgaste Rápido</t>
  </si>
  <si>
    <t>Livros e Documentação Técnica</t>
  </si>
  <si>
    <t>Material de Escritório</t>
  </si>
  <si>
    <t>Artigos para Oferta</t>
  </si>
  <si>
    <t>Energia e Fluidos</t>
  </si>
  <si>
    <t>Deslocações, Estadas e Transportes</t>
  </si>
  <si>
    <t>Transportes de Pessoal</t>
  </si>
  <si>
    <t>Transportes de Mercadorias</t>
  </si>
  <si>
    <t>Serviços Diversos</t>
  </si>
  <si>
    <t>Rendas e Alugueres</t>
  </si>
  <si>
    <t>Contencioso e Notariado</t>
  </si>
  <si>
    <t>Despesas de Representação</t>
  </si>
  <si>
    <t>Limpeza, Higiene e Conforto</t>
  </si>
  <si>
    <t>Outros Serviços</t>
  </si>
  <si>
    <t>Quadro de Pessoal (N.º Pessoas)</t>
  </si>
  <si>
    <t>Administrativa / Financeira</t>
  </si>
  <si>
    <t>Comercial / Marketing</t>
  </si>
  <si>
    <t>Produção / Operacional</t>
  </si>
  <si>
    <t>Investigação e Desenvolvimento</t>
  </si>
  <si>
    <t>Remuneração Base Mensal</t>
  </si>
  <si>
    <t>Remuneração Base Anual - TOTAL Colaboradores</t>
  </si>
  <si>
    <t>Subsídio Alimentação  - N.º Dias Úteis/Mês x Subsídio/Dia</t>
  </si>
  <si>
    <t>N.º Meses Subsídio Alimentação (Meses)</t>
  </si>
  <si>
    <t>Outros Custos com Pessoal</t>
  </si>
  <si>
    <t>Encargos sobre Remunerações</t>
  </si>
  <si>
    <t>Seguros Acidentes de Trabalho e Doenças Profissionais</t>
  </si>
  <si>
    <t>Gastos de Ação Social</t>
  </si>
  <si>
    <t>Outros Gastos com Pessoal</t>
  </si>
  <si>
    <t>Gerência / Administração</t>
  </si>
  <si>
    <t>Investimento por Ano</t>
  </si>
  <si>
    <t>Propriedades de Investimento</t>
  </si>
  <si>
    <t>Terrenos e Recursos Naturais</t>
  </si>
  <si>
    <t>Edifícios e Outras Construções</t>
  </si>
  <si>
    <t>Outras Propriedades de Investimento</t>
  </si>
  <si>
    <t>Total Propriedades de Investimento</t>
  </si>
  <si>
    <t>Ativos Fixos Tangíveis</t>
  </si>
  <si>
    <t>Equipamento  Básico</t>
  </si>
  <si>
    <t>Equipamento de Transporte</t>
  </si>
  <si>
    <t>Equipamento Administrativo</t>
  </si>
  <si>
    <t>Equipamentos Biológicos</t>
  </si>
  <si>
    <t>Outros Ativos Fixos Tangíveis</t>
  </si>
  <si>
    <t>Projetos de Desenvolvimento</t>
  </si>
  <si>
    <t>Programas de Computador</t>
  </si>
  <si>
    <t>Propriedade Industrial</t>
  </si>
  <si>
    <t>Outros Ativos Intangíveis</t>
  </si>
  <si>
    <t xml:space="preserve">   Terrenos e Recursos Naturais</t>
  </si>
  <si>
    <t xml:space="preserve">   Edifícios e Outras Construções</t>
  </si>
  <si>
    <t xml:space="preserve">   Equipamento  Básico</t>
  </si>
  <si>
    <t xml:space="preserve">   Equipamento de Transporte</t>
  </si>
  <si>
    <t xml:space="preserve">   Equipamento Administrativo</t>
  </si>
  <si>
    <t xml:space="preserve">   Equipamentos Biológicos</t>
  </si>
  <si>
    <t xml:space="preserve">   Outros Ativos Fixos Tangíveis</t>
  </si>
  <si>
    <t>Taxas de Depreciações e Amortizações</t>
  </si>
  <si>
    <t>Margem de Segurança</t>
  </si>
  <si>
    <t>Necessidades de Financiamento</t>
  </si>
  <si>
    <t>Financiamento Bancário e Outras Inst. Crédito</t>
  </si>
  <si>
    <t>Subsídios</t>
  </si>
  <si>
    <t>N.º de Anos Reembolso</t>
  </si>
  <si>
    <t>N.º Anos de Carência</t>
  </si>
  <si>
    <t>Capital em Dívida (Início Período)</t>
  </si>
  <si>
    <t>Serviço da Dívida</t>
  </si>
  <si>
    <t>Valor em Dívida</t>
  </si>
  <si>
    <t>Valor em Divida</t>
  </si>
  <si>
    <t>Capital em Dívida</t>
  </si>
  <si>
    <t>Juros Pagos com Imposto Selo Incluído</t>
  </si>
  <si>
    <t>Vendas e Serviços Prestados</t>
  </si>
  <si>
    <t>Ganhos/Perdas Imputados de Subsidiárias, Associadas e Empreendimentos Conjuntos</t>
  </si>
  <si>
    <t>Variação nos Inventários da Produção</t>
  </si>
  <si>
    <t>Trabalhos para a Própria Entidade</t>
  </si>
  <si>
    <t>Fornecimento e Serviços Externos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</si>
  <si>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</si>
  <si>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</si>
  <si>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</si>
  <si>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</si>
  <si>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</si>
  <si>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Outros Rendimentos e Ganhos</t>
  </si>
  <si>
    <t>Outros Gastos e Perdas</t>
  </si>
  <si>
    <t>EBITDA (Resultado antes de Depreciações, Gastos de Financiamento e Impostos)</t>
  </si>
  <si>
    <t>Gastos/Reversões de Depreciação e Amortização</t>
  </si>
  <si>
    <t>Imparidade de Ativos Depreciáveis/Amortizáveis (Perdas/Reversões)</t>
  </si>
  <si>
    <t>Juros e Rendimentos Similares Obtidos</t>
  </si>
  <si>
    <t>Juros e Gastos Similares Suportados</t>
  </si>
  <si>
    <t>Imposto sobre o Rendimento do Período</t>
  </si>
  <si>
    <t>Depreciações e Amortizações</t>
  </si>
  <si>
    <t>Provisões do Exercício</t>
  </si>
  <si>
    <t>Free Cash Flow</t>
  </si>
  <si>
    <t>CASH FLOW Acumulado</t>
  </si>
  <si>
    <t>Capital Social (Entrada de Fundos)</t>
  </si>
  <si>
    <t>Investimentos Financeiros</t>
  </si>
  <si>
    <t>Ativo Corrente</t>
  </si>
  <si>
    <t>Estado e Outros Entes Públicos</t>
  </si>
  <si>
    <t>Outras Contas a Receber</t>
  </si>
  <si>
    <t>Caixa e Depósitos Bancários</t>
  </si>
  <si>
    <t>Ações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</si>
  <si>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</si>
  <si>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</si>
  <si>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</si>
  <si>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</si>
  <si>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Passivo Não Corrente</t>
  </si>
  <si>
    <t>Financiamentos Obtidos</t>
  </si>
  <si>
    <t>Outras Contas a Pagar</t>
  </si>
  <si>
    <t>Passivo Corrente</t>
  </si>
  <si>
    <t>Pay Back Period (Arred. Ano Inteiro)</t>
  </si>
  <si>
    <t>Cálc. Manual</t>
  </si>
  <si>
    <t>Matérias-Primas e Subsidiárias (Discriminação)</t>
  </si>
  <si>
    <t>Unidades Físicas</t>
  </si>
  <si>
    <t>Meses</t>
  </si>
  <si>
    <t>nome empresa/promotor
designação do projeto</t>
  </si>
  <si>
    <t>Data__/__/___</t>
  </si>
  <si>
    <t>Taxa de Segurança Social - Entidade - Colaboradores</t>
  </si>
  <si>
    <r>
      <t xml:space="preserve">Prazo de Pagamento de IVA </t>
    </r>
    <r>
      <rPr>
        <b/>
        <sz val="8"/>
        <color indexed="63"/>
        <rFont val="Arial Narrow"/>
        <family val="2"/>
      </rPr>
      <t xml:space="preserve"> (trim = 4; mensal =12)</t>
    </r>
  </si>
  <si>
    <r>
      <rPr>
        <b/>
        <sz val="8"/>
        <color indexed="62"/>
        <rFont val="Arial Narrow"/>
        <family val="2"/>
      </rPr>
      <t>NOTA:</t>
    </r>
    <r>
      <rPr>
        <sz val="8"/>
        <color indexed="62"/>
        <rFont val="Arial Narrow"/>
        <family val="2"/>
      </rPr>
      <t xml:space="preserve"> Quando não se aplica </t>
    </r>
    <r>
      <rPr>
        <i/>
        <u val="single"/>
        <sz val="8"/>
        <color indexed="62"/>
        <rFont val="Arial Narrow"/>
        <family val="2"/>
      </rPr>
      <t>Beta</t>
    </r>
    <r>
      <rPr>
        <sz val="8"/>
        <color indexed="62"/>
        <rFont val="Arial Narrow"/>
        <family val="2"/>
      </rPr>
      <t xml:space="preserve">, colocar: </t>
    </r>
  </si>
  <si>
    <t>Investimento em Fundo Maneio Necessário</t>
  </si>
  <si>
    <t>Rendibilidade Líquida sobre as Vendas</t>
  </si>
  <si>
    <r>
      <rPr>
        <b/>
        <sz val="9"/>
        <color indexed="62"/>
        <rFont val="Arial Narrow"/>
        <family val="2"/>
      </rPr>
      <t>1.</t>
    </r>
    <r>
      <rPr>
        <sz val="8"/>
        <color indexed="62"/>
        <rFont val="Arial Narrow"/>
        <family val="2"/>
      </rPr>
      <t xml:space="preserve"> PERPETUIDADE a crescer à taxa g</t>
    </r>
  </si>
  <si>
    <r>
      <rPr>
        <b/>
        <sz val="8"/>
        <color indexed="62"/>
        <rFont val="Arial Narrow"/>
        <family val="2"/>
      </rPr>
      <t>2.</t>
    </r>
    <r>
      <rPr>
        <sz val="8"/>
        <color indexed="62"/>
        <rFont val="Arial Narrow"/>
        <family val="2"/>
      </rPr>
      <t xml:space="preserve"> (Ativo Cap Fixo não depreciado N + Fundo de Maneio Necessário N)/ Fator Atualiz. (h32*(1+I31))</t>
    </r>
  </si>
  <si>
    <t>Se versão excell for em inglês, meter na fórmula do Preríodo de Recuperação, o termo "false" em vez de "falso"</t>
  </si>
  <si>
    <r>
      <rPr>
        <b/>
        <sz val="8"/>
        <color indexed="62"/>
        <rFont val="Arial Narrow"/>
        <family val="2"/>
      </rPr>
      <t>2.</t>
    </r>
    <r>
      <rPr>
        <sz val="8"/>
        <color indexed="62"/>
        <rFont val="Arial Narrow"/>
        <family val="2"/>
      </rPr>
      <t xml:space="preserve"> </t>
    </r>
    <r>
      <rPr>
        <b/>
        <sz val="8"/>
        <color indexed="62"/>
        <rFont val="Arial Narrow"/>
        <family val="2"/>
      </rPr>
      <t>Cap Próprio N</t>
    </r>
    <r>
      <rPr>
        <sz val="8"/>
        <color indexed="62"/>
        <rFont val="Arial Narrow"/>
        <family val="2"/>
      </rPr>
      <t xml:space="preserve"> [ou </t>
    </r>
    <r>
      <rPr>
        <sz val="6"/>
        <color indexed="62"/>
        <rFont val="Arial Narrow"/>
        <family val="2"/>
      </rPr>
      <t>(Ativo não depreciado + F.Maneio -Passivo) ]</t>
    </r>
    <r>
      <rPr>
        <b/>
        <sz val="8"/>
        <color indexed="62"/>
        <rFont val="Arial Narrow"/>
        <family val="2"/>
      </rPr>
      <t>/ (h54*(1+I53))</t>
    </r>
  </si>
  <si>
    <t>XFCP Lda</t>
  </si>
  <si>
    <t>Taxa de Atualização  Rcp = Ru = RF+Bu*(Rm-Rf)</t>
  </si>
  <si>
    <r>
      <t xml:space="preserve">Free Cash Flow do Equity </t>
    </r>
    <r>
      <rPr>
        <i/>
        <sz val="8"/>
        <rFont val="Arial Narrow"/>
        <family val="2"/>
      </rPr>
      <t xml:space="preserve">= </t>
    </r>
    <r>
      <rPr>
        <i/>
        <sz val="8"/>
        <color indexed="12"/>
        <rFont val="Arial Narrow"/>
        <family val="2"/>
      </rPr>
      <t>CF operac + CF investimento + CF financiamento</t>
    </r>
  </si>
  <si>
    <t>TAXAS DE ATUALIZAÇÃO</t>
  </si>
  <si>
    <t>Ano 0 - Sem atividade*</t>
  </si>
  <si>
    <t>* Se há atividade no ano inicial, considerar a estrutura inicial de financiamento</t>
  </si>
  <si>
    <t>Rcp = Rf+Bu*(Rm-Rf)</t>
  </si>
  <si>
    <t>Taxa de Atualização  Rcp = Rf + Bu*(Rm-Rf) com Bu</t>
  </si>
  <si>
    <r>
      <t xml:space="preserve">Custo Financiamento                                           </t>
    </r>
    <r>
      <rPr>
        <b/>
        <sz val="8"/>
        <color indexed="30"/>
        <rFont val="Arial Narrow"/>
        <family val="2"/>
      </rPr>
      <t>j</t>
    </r>
  </si>
  <si>
    <t>Custo Médio Ponderado do Capital (wacc) = Rcp*CP% + j*(1-t)*CA%</t>
  </si>
  <si>
    <t>ESTRUTURA DO FINANCIAMENTO DO PROJETO</t>
  </si>
  <si>
    <r>
      <t xml:space="preserve">Custo Financiamento com Efeito Fiscal              </t>
    </r>
    <r>
      <rPr>
        <b/>
        <sz val="8"/>
        <color indexed="30"/>
        <rFont val="Arial Narrow"/>
        <family val="2"/>
      </rPr>
      <t>(1-t)*j</t>
    </r>
  </si>
  <si>
    <r>
      <t xml:space="preserve">Custo médio ponderado capital = Rcp*CP%+Rca*(1-ti)*CA%  </t>
    </r>
    <r>
      <rPr>
        <b/>
        <i/>
        <sz val="8"/>
        <color indexed="12"/>
        <rFont val="Calibri"/>
        <family val="2"/>
      </rPr>
      <t xml:space="preserve"> (Rcp com </t>
    </r>
    <r>
      <rPr>
        <i/>
        <sz val="8"/>
        <color indexed="12"/>
        <rFont val="Calibri"/>
        <family val="2"/>
      </rPr>
      <t>BP 100%CP)</t>
    </r>
  </si>
  <si>
    <t xml:space="preserve">Cálculo do CMPCP (wacc)  (ótica do investimento) </t>
  </si>
  <si>
    <t>CMPCP (wacc)  (ótica do investimento) = Rcp*CP%+Rca*(1-ti)*CA%     (Rcp com Bp - Beta do projeto)</t>
  </si>
  <si>
    <t>cmpcp com cash flows líquidos de financiamento  Rcp*CP%+Rca*(1-ti)*CA%</t>
  </si>
  <si>
    <r>
      <rPr>
        <b/>
        <sz val="9"/>
        <color indexed="62"/>
        <rFont val="Arial Narrow"/>
        <family val="2"/>
      </rPr>
      <t>1.</t>
    </r>
    <r>
      <rPr>
        <sz val="8"/>
        <color indexed="62"/>
        <rFont val="Arial Narrow"/>
        <family val="2"/>
      </rPr>
      <t xml:space="preserve"> PERPETUIDADE a crescer à taxa g em N+1</t>
    </r>
  </si>
  <si>
    <t>Na Perspetiva do Investidor/accionista - Ótica do Cap. Próprio</t>
  </si>
  <si>
    <r>
      <t xml:space="preserve">Beta p = </t>
    </r>
    <r>
      <rPr>
        <b/>
        <i/>
        <sz val="9"/>
        <color indexed="9"/>
        <rFont val="Calibri"/>
        <family val="2"/>
      </rPr>
      <t>B</t>
    </r>
    <r>
      <rPr>
        <b/>
        <sz val="9"/>
        <color indexed="9"/>
        <rFont val="Calibri"/>
        <family val="2"/>
      </rPr>
      <t>u * (1+(1-t)*CA/CP) para cálc. alternativo</t>
    </r>
  </si>
  <si>
    <r>
      <t>Custo Capital  Rcp = Rf+</t>
    </r>
    <r>
      <rPr>
        <b/>
        <i/>
        <sz val="8"/>
        <color indexed="9"/>
        <rFont val="Arial Narrow"/>
        <family val="2"/>
      </rPr>
      <t>Bp</t>
    </r>
    <r>
      <rPr>
        <sz val="8"/>
        <color indexed="9"/>
        <rFont val="Arial Narrow"/>
        <family val="2"/>
      </rPr>
      <t xml:space="preserve">*(Rm-Rf)  </t>
    </r>
  </si>
  <si>
    <t>Taxa de Atualização =  Rcp = Ru = RF+Bu*(Rm-Rf)</t>
  </si>
  <si>
    <t>Na Perspetiva do Investimento (pré-financiamento = 100% CP)</t>
  </si>
  <si>
    <t>Custo do capital próprio (CAPM)  = Rcp = Rf + Bu*(Rm-Rf)</t>
  </si>
  <si>
    <r>
      <t>CMPCP (wacc)  (ótica do investimento) = Rcp*CP%+Rca*(1-ti)*CA%     (Rcp com Bu)</t>
    </r>
    <r>
      <rPr>
        <b/>
        <i/>
        <sz val="8"/>
        <color indexed="12"/>
        <rFont val="Arial Narrow"/>
        <family val="2"/>
      </rPr>
      <t xml:space="preserve"> (=Bp otica 100% cap próprio)</t>
    </r>
  </si>
  <si>
    <r>
      <t xml:space="preserve">Custo do Financiamento Líquido  = </t>
    </r>
    <r>
      <rPr>
        <b/>
        <sz val="8"/>
        <color indexed="12"/>
        <rFont val="Arial Narrow"/>
        <family val="2"/>
      </rPr>
      <t>(1-t)*j</t>
    </r>
  </si>
  <si>
    <t>Não utilizado</t>
  </si>
  <si>
    <t>N.º Meses (pagos em ano normal)</t>
  </si>
  <si>
    <t xml:space="preserve">Órgãos Sociais  </t>
  </si>
  <si>
    <r>
      <t>Jul.</t>
    </r>
    <r>
      <rPr>
        <sz val="8"/>
        <color indexed="12"/>
        <rFont val="Arial Narrow"/>
        <family val="2"/>
      </rPr>
      <t>2019</t>
    </r>
  </si>
  <si>
    <t>Beta U a partir de BL de Empresa(s) de Referência</t>
  </si>
  <si>
    <t>Beta = 100% se não utilizar Beta  (não utilizar BL de empresa de referência)</t>
  </si>
  <si>
    <r>
      <t>Ü</t>
    </r>
    <r>
      <rPr>
        <sz val="10"/>
        <rFont val="Arial Narrow"/>
        <family val="2"/>
      </rPr>
      <t xml:space="preserve"> Só devem ser inseridos valores nas </t>
    </r>
    <r>
      <rPr>
        <sz val="10"/>
        <color indexed="12"/>
        <rFont val="Arial Narrow"/>
        <family val="2"/>
      </rPr>
      <t>células com fundo branco</t>
    </r>
    <r>
      <rPr>
        <sz val="10"/>
        <rFont val="Arial Narrow"/>
        <family val="2"/>
      </rPr>
      <t>;</t>
    </r>
  </si>
  <si>
    <r>
      <t xml:space="preserve">O método dos fluxos de caixa descontados consiste em estimar os fluxos de caixa futuros do projeto e atualizá-los para o momento de avaliação, utilizando uma taxa de desconto (= taxa de atualização = custo do capital desejado pelo investidor) adequada em função do risco do projeto.
O Beta </t>
    </r>
    <r>
      <rPr>
        <b/>
        <i/>
        <sz val="8"/>
        <color indexed="9"/>
        <rFont val="Calibri"/>
        <family val="2"/>
      </rPr>
      <t>B</t>
    </r>
    <r>
      <rPr>
        <sz val="8"/>
        <color indexed="9"/>
        <rFont val="Calibri"/>
        <family val="2"/>
      </rPr>
      <t xml:space="preserve"> obtido duma empresa de referência (ou mais do que uma) cotada em Bolsa (pode ser a própria empresa que vai implementar o projeto) exprime o risco 
relativo da empresa em relação ao risco global de mercado - diz-se Beta da ação = relação de variação entre a cotação da empresa e a variação do Índice de mercado.  
          </t>
    </r>
    <r>
      <rPr>
        <b/>
        <i/>
        <sz val="10"/>
        <color indexed="9"/>
        <rFont val="Calibri"/>
        <family val="2"/>
      </rPr>
      <t>B</t>
    </r>
    <r>
      <rPr>
        <b/>
        <sz val="10"/>
        <color indexed="9"/>
        <rFont val="Calibri"/>
        <family val="2"/>
      </rPr>
      <t>ação = Covar(Rendibilid do Título;Rendibilid de mercado) / Var (Rendibilidade de mercado)</t>
    </r>
    <r>
      <rPr>
        <sz val="8"/>
        <color indexed="9"/>
        <rFont val="Calibri"/>
        <family val="2"/>
      </rPr>
      <t xml:space="preserve">
</t>
    </r>
    <r>
      <rPr>
        <b/>
        <sz val="9"/>
        <color indexed="34"/>
        <rFont val="Calibri"/>
        <family val="2"/>
      </rPr>
      <t>Free Cash Flow to da Firm</t>
    </r>
    <r>
      <rPr>
        <sz val="8"/>
        <color indexed="9"/>
        <rFont val="Calibri"/>
        <family val="2"/>
      </rPr>
      <t xml:space="preserve">
βL pode ser &lt;,= ou &gt; 1, sendo o risco tamto maior quanto maior for BL.
O Beta assim obtido diz-se alavancado BL pelo que importa eliminar o efeito de alavancagem do Capital Alheio da empresa e obter asso o Beta deslavancado dito BU, para utilizar na avaliação de projetos  
BL   = BU x [1 + (1-ti) x (CA /CP)]   =&gt; </t>
    </r>
    <r>
      <rPr>
        <b/>
        <sz val="8"/>
        <color indexed="9"/>
        <rFont val="Calibri"/>
        <family val="2"/>
      </rPr>
      <t xml:space="preserve">BU   = BL / [1 + (1-ti) x (CA /CP)]   </t>
    </r>
    <r>
      <rPr>
        <sz val="8"/>
        <color indexed="9"/>
        <rFont val="Calibri"/>
        <family val="2"/>
      </rPr>
      <t xml:space="preserve">em que :  CA (ou P) - capital alheio; CP - Capital Prório  e ti - tx de imposto (irc)
</t>
    </r>
    <r>
      <rPr>
        <b/>
        <sz val="10"/>
        <color indexed="9"/>
        <rFont val="Calibri"/>
        <family val="2"/>
      </rPr>
      <t>AVALIAÇÃO DO PROJETO</t>
    </r>
    <r>
      <rPr>
        <b/>
        <sz val="8"/>
        <color indexed="9"/>
        <rFont val="Calibri"/>
        <family val="2"/>
      </rPr>
      <t xml:space="preserve">
- Calculam-se os Cash Flows Líquidos FCFF = CFL = EBITx(1-t)+Amortiz - Investimento (Capital Fixo - Fundo de Maneio Necessário) + valor residual investim. (ano n)
- Determina-se a Taxa de atualização (desconto, custo de capital) adequada à </t>
    </r>
    <r>
      <rPr>
        <b/>
        <u val="single"/>
        <sz val="8"/>
        <color indexed="9"/>
        <rFont val="Calibri"/>
        <family val="2"/>
      </rPr>
      <t>ótica de avaliação</t>
    </r>
    <r>
      <rPr>
        <b/>
        <sz val="8"/>
        <color indexed="9"/>
        <rFont val="Calibri"/>
        <family val="2"/>
      </rPr>
      <t xml:space="preserve"> considerada
</t>
    </r>
    <r>
      <rPr>
        <b/>
        <sz val="10"/>
        <color indexed="9"/>
        <rFont val="Calibri"/>
        <family val="2"/>
      </rPr>
      <t>1.</t>
    </r>
    <r>
      <rPr>
        <sz val="10"/>
        <color indexed="9"/>
        <rFont val="Calibri"/>
        <family val="2"/>
      </rPr>
      <t xml:space="preserve"> </t>
    </r>
    <r>
      <rPr>
        <b/>
        <u val="single"/>
        <sz val="10"/>
        <color indexed="9"/>
        <rFont val="Calibri"/>
        <family val="2"/>
      </rPr>
      <t>Avaliação na ótica do investimento</t>
    </r>
    <r>
      <rPr>
        <b/>
        <u val="single"/>
        <sz val="8"/>
        <color indexed="9"/>
        <rFont val="Calibri"/>
        <family val="2"/>
      </rPr>
      <t xml:space="preserve"> (pré-financiamento) </t>
    </r>
    <r>
      <rPr>
        <b/>
        <sz val="8"/>
        <color indexed="9"/>
        <rFont val="Calibri"/>
        <family val="2"/>
      </rPr>
      <t xml:space="preserve">ignora a forma de financiamento o que equivale a </t>
    </r>
    <r>
      <rPr>
        <b/>
        <u val="single"/>
        <sz val="8"/>
        <color indexed="9"/>
        <rFont val="Calibri"/>
        <family val="2"/>
      </rPr>
      <t>= 100% Cap Próprio</t>
    </r>
    <r>
      <rPr>
        <sz val="8"/>
        <color indexed="9"/>
        <rFont val="Calibri"/>
        <family val="2"/>
      </rPr>
      <t xml:space="preserve">) </t>
    </r>
    <r>
      <rPr>
        <sz val="8"/>
        <color indexed="9"/>
        <rFont val="Calibri"/>
        <family val="2"/>
      </rPr>
      <t xml:space="preserve">
   </t>
    </r>
    <r>
      <rPr>
        <b/>
        <sz val="8"/>
        <color indexed="9"/>
        <rFont val="Calibri"/>
        <family val="2"/>
      </rPr>
      <t>A Taxa de atualização</t>
    </r>
    <r>
      <rPr>
        <sz val="8"/>
        <color indexed="9"/>
        <rFont val="Calibri"/>
        <family val="2"/>
      </rPr>
      <t xml:space="preserve"> (desconto)  = </t>
    </r>
    <r>
      <rPr>
        <b/>
        <sz val="8"/>
        <color indexed="9"/>
        <rFont val="Calibri"/>
        <family val="2"/>
      </rPr>
      <t xml:space="preserve">re = Rf + </t>
    </r>
    <r>
      <rPr>
        <b/>
        <i/>
        <sz val="8"/>
        <color indexed="9"/>
        <rFont val="Calibri"/>
        <family val="2"/>
      </rPr>
      <t>B</t>
    </r>
    <r>
      <rPr>
        <b/>
        <sz val="8"/>
        <color indexed="9"/>
        <rFont val="Calibri"/>
        <family val="2"/>
      </rPr>
      <t xml:space="preserve">u*(Rm - Rf). 
</t>
    </r>
    <r>
      <rPr>
        <b/>
        <sz val="10"/>
        <color indexed="9"/>
        <rFont val="Calibri"/>
        <family val="2"/>
      </rPr>
      <t xml:space="preserve">2. </t>
    </r>
    <r>
      <rPr>
        <b/>
        <u val="single"/>
        <sz val="10"/>
        <color indexed="9"/>
        <rFont val="Calibri"/>
        <family val="2"/>
      </rPr>
      <t xml:space="preserve">Avaliação na Ótica do Investiemnto pós-financiamento, </t>
    </r>
    <r>
      <rPr>
        <b/>
        <u val="single"/>
        <sz val="8"/>
        <color indexed="9"/>
        <rFont val="Calibri"/>
        <family val="2"/>
      </rPr>
      <t>incorpora os efeitos do capital alheio refletidos na taxa de utilização</t>
    </r>
    <r>
      <rPr>
        <b/>
        <sz val="8"/>
        <color indexed="9"/>
        <rFont val="Calibri"/>
        <family val="2"/>
      </rPr>
      <t xml:space="preserve">
Taxa de atualização  = wacc (custo médio ponderado do capital) = Rcp*CP /(CP+CA)+ Rca*(1-ti)*CA/ (CP+CA)
com Rcp = re = Rf + Bu*(Rm-Rf) e Rca - taxa de juro efetiva do capital alheio
Em alternativa, pode utilizar-se método considerando Rcp = Rf + Bp*(Rm-Rf).           com         Bp = Bu*(1+(1-ti)*(CA/CP)) com CA e CP do projeto
</t>
    </r>
    <r>
      <rPr>
        <b/>
        <u val="single"/>
        <sz val="10"/>
        <color indexed="9"/>
        <rFont val="Calibri"/>
        <family val="2"/>
      </rPr>
      <t xml:space="preserve">3. Avaliação na  Ótica do Investidor (ou do Capital Próprio) </t>
    </r>
    <r>
      <rPr>
        <b/>
        <u val="single"/>
        <sz val="11"/>
        <color indexed="34"/>
        <rFont val="Calibri"/>
        <family val="2"/>
      </rPr>
      <t>(Free Cash Flow to Equity)</t>
    </r>
    <r>
      <rPr>
        <b/>
        <sz val="8"/>
        <color indexed="9"/>
        <rFont val="Calibri"/>
        <family val="2"/>
      </rPr>
      <t xml:space="preserve">
No método de avaliação pelo desconto de fluxos de caixa líquido do acionista (FCFE - Free Cashflow to Equity), o objetivo é avaliar diretamente o valor líquido e a remuneração do capital do investidor (ou do acionista da empresa) 
Os Cash Flows (FCFE) = Cash flows na ótica do Investimento + Cash Flows de financiamento em cada ano
 FCFEt  = Resultado operacional*(1-ti) + Amortizações Inv - Investimento (cap. fixo e fundo de maneio) + Financiamento obtido - reeembolsos de financiamento - Encargos financeiros*(1-ti)
-  taxa de atualização =  Rcp (CAPM) = Rf + Bu*(Rm - Rf). 
</t>
    </r>
    <r>
      <rPr>
        <b/>
        <sz val="9"/>
        <color indexed="9"/>
        <rFont val="Calibri"/>
        <family val="2"/>
      </rPr>
      <t xml:space="preserve">NOTAS:
1.  Em todos os métodos, considera-se o Valor Residual dos CASH FLOWS no último ano, que podem influenciar significativamente, consoante o método de cálculo, o Valor dos indicadores (VAL e TIR).
2. É usual utilizar a taxa de atualização do 1º ano em todos os períodos - O que não acontece nesta Folha calc que altera a tx atualização em cada ano
</t>
    </r>
    <r>
      <rPr>
        <b/>
        <sz val="9"/>
        <color indexed="34"/>
        <rFont val="Calibri"/>
        <family val="2"/>
      </rPr>
      <t xml:space="preserve">
</t>
    </r>
  </si>
  <si>
    <t>Metodologias de avaliação</t>
  </si>
  <si>
    <r>
      <t>Prémio de Risco de Mercado = (Rm</t>
    </r>
    <r>
      <rPr>
        <sz val="8"/>
        <color indexed="12"/>
        <rFont val="Arial Narrow"/>
        <family val="2"/>
      </rPr>
      <t>*</t>
    </r>
    <r>
      <rPr>
        <sz val="8"/>
        <rFont val="Arial Narrow"/>
        <family val="2"/>
      </rPr>
      <t xml:space="preserve">-Rf) </t>
    </r>
    <r>
      <rPr>
        <sz val="8"/>
        <color indexed="12"/>
        <rFont val="Arial Narrow"/>
        <family val="2"/>
      </rPr>
      <t>**</t>
    </r>
  </si>
  <si>
    <r>
      <rPr>
        <i/>
        <sz val="8"/>
        <color indexed="12"/>
        <rFont val="Arial Narrow"/>
        <family val="2"/>
      </rPr>
      <t xml:space="preserve">** </t>
    </r>
    <r>
      <rPr>
        <i/>
        <sz val="8"/>
        <rFont val="Arial Narrow"/>
        <family val="2"/>
      </rPr>
      <t>Em Portugal 2019 será razoável em investimentos "normais" 6% a 8%</t>
    </r>
  </si>
  <si>
    <t>Margem Bruta %</t>
  </si>
  <si>
    <t>N.º Meses de produção</t>
  </si>
  <si>
    <t>CV %</t>
  </si>
  <si>
    <t>CF %</t>
  </si>
  <si>
    <t>Taxa de Crescimento %</t>
  </si>
  <si>
    <t>Meses de atividade da empresa (incluindo paragem em férias)</t>
  </si>
  <si>
    <t>Incremento Anual (Vencimentos + Sub. Almoço) %</t>
  </si>
  <si>
    <t>Quadro de Pessoal (Meses de Trabalho incluindo Tempo Férias)</t>
  </si>
  <si>
    <t>Reserva Segurança Tesouraria (valor fixo)</t>
  </si>
  <si>
    <t>N.º Meses Atividade/Produção</t>
  </si>
  <si>
    <t>Utilizar tabela "legal" de amortizações  e se necessário calcular Taxa médias por tipo de investimento</t>
  </si>
  <si>
    <t>4 = trim; 12 = mensal</t>
  </si>
  <si>
    <t>Taxa de Juro Associada</t>
  </si>
  <si>
    <t>***</t>
  </si>
  <si>
    <r>
      <t>2.</t>
    </r>
    <r>
      <rPr>
        <b/>
        <sz val="6"/>
        <color indexed="62"/>
        <rFont val="Arial Narrow"/>
        <family val="2"/>
      </rPr>
      <t>Ativo não depreciado + F.Maneio</t>
    </r>
  </si>
  <si>
    <r>
      <t xml:space="preserve">Na Perspetiva do Investimento (pós-financiamento)
</t>
    </r>
    <r>
      <rPr>
        <b/>
        <sz val="8"/>
        <color indexed="9"/>
        <rFont val="Arial Narrow"/>
        <family val="2"/>
      </rPr>
      <t>Taxa Atualização=Custo Médio Ponderado do Capital - wacc)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</si>
</sst>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.00_);[Red]\(&quot;$&quot;#,##0.00\)"/>
    <numFmt numFmtId="167" formatCode="[$-816]mmm/yy;@"/>
    <numFmt numFmtId="168" formatCode="0_ ;[Red]\-0\ "/>
    <numFmt numFmtId="169" formatCode="0.0%"/>
    <numFmt numFmtId="170" formatCode="#,##0_ ;[Red]\-#,##0\ "/>
    <numFmt numFmtId="171" formatCode="0.000"/>
    <numFmt numFmtId="172" formatCode="#,##0.0"/>
    <numFmt numFmtId="173" formatCode="#,##0.00_ ;[Red]\-#,##0.00\ "/>
    <numFmt numFmtId="174" formatCode="0.0"/>
    <numFmt numFmtId="175" formatCode="0.0_)"/>
    <numFmt numFmtId="176" formatCode="0.00_)"/>
    <numFmt numFmtId="177" formatCode="#,##0_ ;\-#,##0\ "/>
    <numFmt numFmtId="178" formatCode="0.000000"/>
    <numFmt numFmtId="179" formatCode="0.00000"/>
    <numFmt numFmtId="180" formatCode="0.0000"/>
    <numFmt numFmtId="181" formatCode="0.000%"/>
    <numFmt numFmtId="182" formatCode="0.00000000"/>
    <numFmt numFmtId="183" formatCode="0.0000000"/>
    <numFmt numFmtId="184" formatCode="&quot;Sim&quot;;&quot;Sim&quot;;&quot;Não&quot;"/>
    <numFmt numFmtId="185" formatCode="&quot;Verdadeiro&quot;;&quot;Verdadeiro&quot;;&quot;Falso&quot;"/>
    <numFmt numFmtId="186" formatCode="&quot;Activado&quot;;&quot;Activado&quot;;&quot;Desactivado&quot;"/>
    <numFmt numFmtId="187" formatCode="[$€-2]\ #,##0.00_);[Red]\([$€-2]\ #,##0.00\)"/>
    <numFmt numFmtId="188" formatCode="#,##0.000"/>
    <numFmt numFmtId="189" formatCode="0.00000%"/>
    <numFmt numFmtId="190" formatCode="#,##0.0000"/>
  </numFmts>
  <fonts count="160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b/>
      <i/>
      <sz val="8"/>
      <color indexed="9"/>
      <name val="Calibri"/>
      <family val="2"/>
    </font>
    <font>
      <sz val="8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u val="single"/>
      <sz val="8"/>
      <color indexed="9"/>
      <name val="Calibri"/>
      <family val="2"/>
    </font>
    <font>
      <b/>
      <sz val="9"/>
      <color indexed="34"/>
      <name val="Calibri"/>
      <family val="2"/>
    </font>
    <font>
      <i/>
      <sz val="10"/>
      <name val="Arial Narrow"/>
      <family val="2"/>
    </font>
    <font>
      <b/>
      <sz val="8"/>
      <color indexed="62"/>
      <name val="Arial Narrow"/>
      <family val="2"/>
    </font>
    <font>
      <b/>
      <sz val="8"/>
      <color indexed="63"/>
      <name val="Arial Narrow"/>
      <family val="2"/>
    </font>
    <font>
      <i/>
      <u val="single"/>
      <sz val="8"/>
      <color indexed="62"/>
      <name val="Arial Narrow"/>
      <family val="2"/>
    </font>
    <font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9"/>
      <color indexed="62"/>
      <name val="Arial Narrow"/>
      <family val="2"/>
    </font>
    <font>
      <sz val="6"/>
      <color indexed="62"/>
      <name val="Arial Narrow"/>
      <family val="2"/>
    </font>
    <font>
      <i/>
      <sz val="8"/>
      <color indexed="12"/>
      <name val="Arial Narrow"/>
      <family val="2"/>
    </font>
    <font>
      <b/>
      <sz val="8"/>
      <color indexed="30"/>
      <name val="Arial Narrow"/>
      <family val="2"/>
    </font>
    <font>
      <b/>
      <i/>
      <sz val="8"/>
      <color indexed="12"/>
      <name val="Calibri"/>
      <family val="2"/>
    </font>
    <font>
      <i/>
      <sz val="8"/>
      <color indexed="12"/>
      <name val="Calibri"/>
      <family val="2"/>
    </font>
    <font>
      <b/>
      <i/>
      <sz val="9"/>
      <color indexed="9"/>
      <name val="Calibri"/>
      <family val="2"/>
    </font>
    <font>
      <b/>
      <i/>
      <sz val="8"/>
      <color indexed="9"/>
      <name val="Arial Narrow"/>
      <family val="2"/>
    </font>
    <font>
      <b/>
      <sz val="8"/>
      <color indexed="12"/>
      <name val="Arial Narrow"/>
      <family val="2"/>
    </font>
    <font>
      <b/>
      <i/>
      <sz val="8"/>
      <color indexed="12"/>
      <name val="Arial Narrow"/>
      <family val="2"/>
    </font>
    <font>
      <sz val="10"/>
      <color indexed="12"/>
      <name val="Arial Narrow"/>
      <family val="2"/>
    </font>
    <font>
      <b/>
      <u val="single"/>
      <sz val="11"/>
      <color indexed="34"/>
      <name val="Calibri"/>
      <family val="2"/>
    </font>
    <font>
      <b/>
      <sz val="6"/>
      <color indexed="62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b/>
      <i/>
      <sz val="22"/>
      <color indexed="62"/>
      <name val="Arial Narrow"/>
      <family val="2"/>
    </font>
    <font>
      <b/>
      <i/>
      <sz val="18"/>
      <color indexed="62"/>
      <name val="Arial Narrow"/>
      <family val="2"/>
    </font>
    <font>
      <sz val="40"/>
      <color indexed="62"/>
      <name val="Arial Narrow"/>
      <family val="2"/>
    </font>
    <font>
      <sz val="22"/>
      <color indexed="62"/>
      <name val="Arial Narrow"/>
      <family val="2"/>
    </font>
    <font>
      <sz val="8"/>
      <color indexed="63"/>
      <name val="Arial Narrow"/>
      <family val="2"/>
    </font>
    <font>
      <i/>
      <sz val="8"/>
      <color indexed="62"/>
      <name val="Arial Narrow"/>
      <family val="2"/>
    </font>
    <font>
      <i/>
      <sz val="6"/>
      <color indexed="62"/>
      <name val="Arial Narrow"/>
      <family val="2"/>
    </font>
    <font>
      <sz val="8"/>
      <color indexed="15"/>
      <name val="Arial Narrow"/>
      <family val="2"/>
    </font>
    <font>
      <i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9"/>
      <color indexed="12"/>
      <name val="Arial Narrow"/>
      <family val="2"/>
    </font>
    <font>
      <i/>
      <sz val="9"/>
      <color indexed="12"/>
      <name val="Arial Narrow"/>
      <family val="2"/>
    </font>
    <font>
      <b/>
      <sz val="8"/>
      <color indexed="12"/>
      <name val="Calibri"/>
      <family val="2"/>
    </font>
    <font>
      <b/>
      <sz val="12"/>
      <color indexed="9"/>
      <name val="Arial Narrow"/>
      <family val="2"/>
    </font>
    <font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6"/>
      <color indexed="9"/>
      <name val="Arial Narrow"/>
      <family val="2"/>
    </font>
    <font>
      <i/>
      <sz val="6"/>
      <color indexed="9"/>
      <name val="Arial Narrow"/>
      <family val="2"/>
    </font>
    <font>
      <b/>
      <sz val="12"/>
      <color indexed="62"/>
      <name val="Arial Narrow"/>
      <family val="2"/>
    </font>
    <font>
      <b/>
      <i/>
      <sz val="8"/>
      <color indexed="62"/>
      <name val="Arial Narrow"/>
      <family val="2"/>
    </font>
    <font>
      <sz val="14"/>
      <color indexed="9"/>
      <name val="Arial Narrow"/>
      <family val="2"/>
    </font>
    <font>
      <b/>
      <sz val="10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CC"/>
      <name val="Arial Narrow"/>
      <family val="2"/>
    </font>
    <font>
      <sz val="8"/>
      <color rgb="FF0000CC"/>
      <name val="Arial Narrow"/>
      <family val="2"/>
    </font>
    <font>
      <sz val="8"/>
      <color rgb="FFFF0000"/>
      <name val="Arial Narrow"/>
      <family val="2"/>
    </font>
    <font>
      <sz val="8"/>
      <color theme="4" tint="-0.24997000396251678"/>
      <name val="Arial Narrow"/>
      <family val="2"/>
    </font>
    <font>
      <b/>
      <i/>
      <sz val="22"/>
      <color theme="3" tint="-0.24997000396251678"/>
      <name val="Arial Narrow"/>
      <family val="2"/>
    </font>
    <font>
      <b/>
      <i/>
      <sz val="18"/>
      <color theme="3" tint="-0.24997000396251678"/>
      <name val="Arial Narrow"/>
      <family val="2"/>
    </font>
    <font>
      <sz val="40"/>
      <color theme="3" tint="-0.24997000396251678"/>
      <name val="Arial Narrow"/>
      <family val="2"/>
    </font>
    <font>
      <sz val="22"/>
      <color theme="3" tint="-0.24997000396251678"/>
      <name val="Arial Narrow"/>
      <family val="2"/>
    </font>
    <font>
      <sz val="8"/>
      <color theme="3" tint="-0.24997000396251678"/>
      <name val="Arial Narrow"/>
      <family val="2"/>
    </font>
    <font>
      <b/>
      <sz val="8"/>
      <color theme="3" tint="-0.2499700039625167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3" tint="-0.24993999302387238"/>
      <name val="Arial Narrow"/>
      <family val="2"/>
    </font>
    <font>
      <i/>
      <sz val="8"/>
      <color theme="3" tint="-0.24997000396251678"/>
      <name val="Arial Narrow"/>
      <family val="2"/>
    </font>
    <font>
      <i/>
      <sz val="6"/>
      <color theme="3" tint="-0.24997000396251678"/>
      <name val="Arial Narrow"/>
      <family val="2"/>
    </font>
    <font>
      <sz val="8"/>
      <color theme="0" tint="-0.24997000396251678"/>
      <name val="Arial Narrow"/>
      <family val="2"/>
    </font>
    <font>
      <sz val="8"/>
      <color rgb="FF00B0F0"/>
      <name val="Arial Narrow"/>
      <family val="2"/>
    </font>
    <font>
      <i/>
      <sz val="9"/>
      <color theme="3" tint="-0.24997000396251678"/>
      <name val="Arial Narrow"/>
      <family val="2"/>
    </font>
    <font>
      <sz val="9"/>
      <color theme="3" tint="-0.24997000396251678"/>
      <name val="Arial Narrow"/>
      <family val="2"/>
    </font>
    <font>
      <b/>
      <sz val="9"/>
      <color rgb="FF0000CC"/>
      <name val="Arial Narrow"/>
      <family val="2"/>
    </font>
    <font>
      <i/>
      <sz val="9"/>
      <color rgb="FF0000CC"/>
      <name val="Arial Narrow"/>
      <family val="2"/>
    </font>
    <font>
      <b/>
      <sz val="8"/>
      <color rgb="FF0000CC"/>
      <name val="Calibri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i/>
      <sz val="8"/>
      <color theme="0"/>
      <name val="Arial Narrow"/>
      <family val="2"/>
    </font>
    <font>
      <i/>
      <sz val="8"/>
      <color rgb="FF0000CC"/>
      <name val="Arial Narrow"/>
      <family val="2"/>
    </font>
    <font>
      <b/>
      <sz val="9"/>
      <color theme="0"/>
      <name val="Arial Narrow"/>
      <family val="2"/>
    </font>
    <font>
      <sz val="6"/>
      <color theme="0"/>
      <name val="Arial Narrow"/>
      <family val="2"/>
    </font>
    <font>
      <i/>
      <sz val="6"/>
      <color theme="0"/>
      <name val="Arial Narrow"/>
      <family val="2"/>
    </font>
    <font>
      <sz val="10"/>
      <color rgb="FF0000CC"/>
      <name val="Arial Narrow"/>
      <family val="2"/>
    </font>
    <font>
      <b/>
      <sz val="8"/>
      <color rgb="FF0070C0"/>
      <name val="Arial Narrow"/>
      <family val="2"/>
    </font>
    <font>
      <b/>
      <sz val="9"/>
      <color theme="4" tint="-0.24997000396251678"/>
      <name val="Arial Narrow"/>
      <family val="2"/>
    </font>
    <font>
      <sz val="9"/>
      <color theme="4" tint="-0.24997000396251678"/>
      <name val="Arial Narrow"/>
      <family val="2"/>
    </font>
    <font>
      <b/>
      <sz val="12"/>
      <color theme="4" tint="-0.4999699890613556"/>
      <name val="Arial Narrow"/>
      <family val="2"/>
    </font>
    <font>
      <sz val="8"/>
      <color theme="0"/>
      <name val="Calibri"/>
      <family val="2"/>
    </font>
    <font>
      <b/>
      <sz val="12"/>
      <color theme="3" tint="-0.24997000396251678"/>
      <name val="Arial Narrow"/>
      <family val="2"/>
    </font>
    <font>
      <b/>
      <i/>
      <sz val="8"/>
      <color theme="3" tint="-0.24997000396251678"/>
      <name val="Arial Narrow"/>
      <family val="2"/>
    </font>
    <font>
      <b/>
      <sz val="10"/>
      <color theme="0"/>
      <name val="Arial Narrow"/>
      <family val="2"/>
    </font>
    <font>
      <sz val="14"/>
      <color theme="0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0" fontId="106" fillId="0" borderId="2" applyNumberFormat="0" applyFill="0" applyAlignment="0" applyProtection="0"/>
    <xf numFmtId="0" fontId="107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8" fillId="20" borderId="4" applyNumberFormat="0" applyAlignment="0" applyProtection="0"/>
    <xf numFmtId="0" fontId="109" fillId="0" borderId="5" applyNumberFormat="0" applyFill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10" fillId="27" borderId="0" applyNumberFormat="0" applyBorder="0" applyAlignment="0" applyProtection="0"/>
    <xf numFmtId="0" fontId="111" fillId="28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114" fillId="20" borderId="7" applyNumberFormat="0" applyAlignment="0" applyProtection="0"/>
    <xf numFmtId="41" fontId="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8" applyNumberFormat="0" applyFill="0" applyAlignment="0" applyProtection="0"/>
    <xf numFmtId="0" fontId="119" fillId="32" borderId="9" applyNumberFormat="0" applyAlignment="0" applyProtection="0"/>
    <xf numFmtId="43" fontId="1" fillId="0" borderId="0" applyFont="0" applyFill="0" applyBorder="0" applyAlignment="0" applyProtection="0"/>
  </cellStyleXfs>
  <cellXfs count="688">
    <xf numFmtId="0" fontId="0" fillId="0" borderId="0" xfId="0" applyAlignment="1">
      <alignment/>
    </xf>
    <xf numFmtId="0" fontId="17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4" fontId="13" fillId="0" borderId="10" xfId="57" applyNumberFormat="1" applyFont="1" applyFill="1" applyBorder="1" applyAlignment="1" applyProtection="1">
      <alignment horizontal="center"/>
      <protection locked="0"/>
    </xf>
    <xf numFmtId="0" fontId="21" fillId="0" borderId="0" xfId="53" applyFont="1" applyFill="1" applyBorder="1" applyProtection="1">
      <alignment/>
      <protection hidden="1"/>
    </xf>
    <xf numFmtId="0" fontId="20" fillId="0" borderId="0" xfId="53" applyFont="1" applyFill="1" applyBorder="1" applyAlignment="1" applyProtection="1">
      <alignment horizontal="left"/>
      <protection hidden="1"/>
    </xf>
    <xf numFmtId="0" fontId="20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1" fillId="34" borderId="0" xfId="53" applyFill="1" applyProtection="1">
      <alignment/>
      <protection hidden="1"/>
    </xf>
    <xf numFmtId="0" fontId="21" fillId="0" borderId="0" xfId="53" applyFont="1" applyFill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20" fillId="0" borderId="0" xfId="53" applyFont="1" applyFill="1" applyBorder="1" applyAlignment="1" applyProtection="1">
      <alignment vertical="center" wrapText="1"/>
      <protection hidden="1"/>
    </xf>
    <xf numFmtId="0" fontId="20" fillId="0" borderId="0" xfId="53" applyFont="1" applyFill="1" applyAlignment="1" applyProtection="1">
      <alignment vertical="center" wrapText="1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2" fontId="4" fillId="34" borderId="0" xfId="57" applyNumberFormat="1" applyFont="1" applyFill="1" applyBorder="1" applyAlignment="1" applyProtection="1">
      <alignment/>
      <protection hidden="1"/>
    </xf>
    <xf numFmtId="10" fontId="4" fillId="34" borderId="0" xfId="57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9" fontId="4" fillId="0" borderId="0" xfId="57" applyFont="1" applyFill="1" applyAlignment="1" applyProtection="1">
      <alignment/>
      <protection hidden="1"/>
    </xf>
    <xf numFmtId="2" fontId="4" fillId="0" borderId="0" xfId="57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2" fontId="4" fillId="0" borderId="0" xfId="57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0" fontId="13" fillId="0" borderId="10" xfId="57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57" applyNumberFormat="1" applyFont="1" applyFill="1" applyBorder="1" applyAlignment="1" applyProtection="1">
      <alignment horizontal="right" vertical="center"/>
      <protection locked="0"/>
    </xf>
    <xf numFmtId="170" fontId="4" fillId="0" borderId="11" xfId="0" applyNumberFormat="1" applyFont="1" applyFill="1" applyBorder="1" applyAlignment="1" applyProtection="1">
      <alignment vertical="center"/>
      <protection locked="0"/>
    </xf>
    <xf numFmtId="170" fontId="5" fillId="33" borderId="10" xfId="0" applyNumberFormat="1" applyFont="1" applyFill="1" applyBorder="1" applyAlignment="1" applyProtection="1">
      <alignment vertical="center"/>
      <protection/>
    </xf>
    <xf numFmtId="170" fontId="5" fillId="33" borderId="12" xfId="0" applyNumberFormat="1" applyFont="1" applyFill="1" applyBorder="1" applyAlignment="1" applyProtection="1">
      <alignment/>
      <protection/>
    </xf>
    <xf numFmtId="168" fontId="4" fillId="0" borderId="11" xfId="0" applyNumberFormat="1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70" fontId="28" fillId="0" borderId="10" xfId="54" applyNumberFormat="1" applyFont="1" applyFill="1" applyBorder="1" applyProtection="1">
      <alignment/>
      <protection locked="0"/>
    </xf>
    <xf numFmtId="3" fontId="4" fillId="0" borderId="15" xfId="57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3" xfId="0" applyFont="1" applyFill="1" applyBorder="1" applyAlignment="1" applyProtection="1">
      <alignment horizontal="left" indent="1"/>
      <protection/>
    </xf>
    <xf numFmtId="172" fontId="4" fillId="33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/>
      <protection/>
    </xf>
    <xf numFmtId="172" fontId="5" fillId="0" borderId="0" xfId="0" applyNumberFormat="1" applyFont="1" applyFill="1" applyBorder="1" applyAlignment="1" applyProtection="1">
      <alignment horizontal="left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168" fontId="5" fillId="33" borderId="10" xfId="0" applyNumberFormat="1" applyFont="1" applyFill="1" applyBorder="1" applyAlignment="1" applyProtection="1">
      <alignment horizontal="center"/>
      <protection/>
    </xf>
    <xf numFmtId="170" fontId="5" fillId="33" borderId="10" xfId="0" applyNumberFormat="1" applyFont="1" applyFill="1" applyBorder="1" applyAlignment="1" applyProtection="1">
      <alignment/>
      <protection/>
    </xf>
    <xf numFmtId="9" fontId="13" fillId="0" borderId="0" xfId="57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/>
      <protection/>
    </xf>
    <xf numFmtId="170" fontId="5" fillId="0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0" fontId="13" fillId="33" borderId="10" xfId="57" applyNumberFormat="1" applyFont="1" applyFill="1" applyBorder="1" applyAlignment="1" applyProtection="1">
      <alignment horizontal="right" vertical="center"/>
      <protection/>
    </xf>
    <xf numFmtId="170" fontId="4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indent="1"/>
      <protection/>
    </xf>
    <xf numFmtId="0" fontId="22" fillId="0" borderId="0" xfId="0" applyFont="1" applyFill="1" applyAlignment="1" applyProtection="1">
      <alignment horizontal="left"/>
      <protection/>
    </xf>
    <xf numFmtId="0" fontId="22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9" fontId="13" fillId="33" borderId="10" xfId="5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168" fontId="5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 vertical="center"/>
      <protection/>
    </xf>
    <xf numFmtId="170" fontId="4" fillId="33" borderId="10" xfId="0" applyNumberFormat="1" applyFont="1" applyFill="1" applyBorder="1" applyAlignment="1" applyProtection="1">
      <alignment horizontal="right" vertical="center"/>
      <protection/>
    </xf>
    <xf numFmtId="170" fontId="5" fillId="33" borderId="12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 indent="1"/>
      <protection/>
    </xf>
    <xf numFmtId="10" fontId="4" fillId="33" borderId="10" xfId="57" applyNumberFormat="1" applyFont="1" applyFill="1" applyBorder="1" applyAlignment="1" applyProtection="1">
      <alignment horizontal="center"/>
      <protection/>
    </xf>
    <xf numFmtId="170" fontId="4" fillId="33" borderId="10" xfId="0" applyNumberFormat="1" applyFont="1" applyFill="1" applyBorder="1" applyAlignment="1" applyProtection="1">
      <alignment/>
      <protection/>
    </xf>
    <xf numFmtId="38" fontId="4" fillId="33" borderId="13" xfId="0" applyNumberFormat="1" applyFont="1" applyFill="1" applyBorder="1" applyAlignment="1" applyProtection="1">
      <alignment/>
      <protection/>
    </xf>
    <xf numFmtId="38" fontId="4" fillId="33" borderId="16" xfId="0" applyNumberFormat="1" applyFont="1" applyFill="1" applyBorder="1" applyAlignment="1" applyProtection="1">
      <alignment/>
      <protection/>
    </xf>
    <xf numFmtId="170" fontId="4" fillId="33" borderId="16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57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9" fontId="4" fillId="33" borderId="16" xfId="57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indent="1"/>
      <protection/>
    </xf>
    <xf numFmtId="9" fontId="4" fillId="33" borderId="19" xfId="57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57" applyFont="1" applyFill="1" applyBorder="1" applyAlignment="1" applyProtection="1">
      <alignment horizontal="left"/>
      <protection/>
    </xf>
    <xf numFmtId="170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38" fontId="4" fillId="33" borderId="17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0" xfId="0" applyNumberFormat="1" applyFont="1" applyFill="1" applyBorder="1" applyAlignment="1" applyProtection="1">
      <alignment horizontal="center"/>
      <protection/>
    </xf>
    <xf numFmtId="3" fontId="4" fillId="0" borderId="20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 indent="2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 indent="2"/>
      <protection/>
    </xf>
    <xf numFmtId="0" fontId="23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center"/>
      <protection/>
    </xf>
    <xf numFmtId="0" fontId="4" fillId="34" borderId="0" xfId="54" applyFont="1" applyFill="1" applyProtection="1">
      <alignment/>
      <protection/>
    </xf>
    <xf numFmtId="0" fontId="5" fillId="0" borderId="20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/>
      <protection/>
    </xf>
    <xf numFmtId="0" fontId="5" fillId="33" borderId="13" xfId="54" applyFont="1" applyFill="1" applyBorder="1" applyProtection="1">
      <alignment/>
      <protection/>
    </xf>
    <xf numFmtId="0" fontId="4" fillId="33" borderId="16" xfId="54" applyFont="1" applyFill="1" applyBorder="1" applyProtection="1">
      <alignment/>
      <protection/>
    </xf>
    <xf numFmtId="0" fontId="4" fillId="33" borderId="13" xfId="54" applyFont="1" applyFill="1" applyBorder="1" applyProtection="1">
      <alignment/>
      <protection/>
    </xf>
    <xf numFmtId="3" fontId="13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/>
      <protection/>
    </xf>
    <xf numFmtId="3" fontId="5" fillId="33" borderId="12" xfId="54" applyNumberFormat="1" applyFont="1" applyFill="1" applyBorder="1" applyAlignment="1" applyProtection="1">
      <alignment horizontal="right"/>
      <protection/>
    </xf>
    <xf numFmtId="170" fontId="5" fillId="0" borderId="0" xfId="54" applyNumberFormat="1" applyFont="1" applyFill="1" applyBorder="1" applyAlignment="1" applyProtection="1">
      <alignment horizontal="left" vertical="center"/>
      <protection/>
    </xf>
    <xf numFmtId="3" fontId="5" fillId="0" borderId="0" xfId="54" applyNumberFormat="1" applyFont="1" applyFill="1" applyBorder="1" applyAlignment="1" applyProtection="1">
      <alignment horizontal="right"/>
      <protection/>
    </xf>
    <xf numFmtId="170" fontId="5" fillId="33" borderId="21" xfId="54" applyNumberFormat="1" applyFont="1" applyFill="1" applyBorder="1" applyAlignment="1" applyProtection="1">
      <alignment vertical="center"/>
      <protection/>
    </xf>
    <xf numFmtId="0" fontId="12" fillId="0" borderId="0" xfId="54" applyFont="1" applyFill="1" applyBorder="1" applyProtection="1">
      <alignment/>
      <protection/>
    </xf>
    <xf numFmtId="0" fontId="4" fillId="0" borderId="0" xfId="54" applyFont="1" applyFill="1" applyBorder="1" applyProtection="1">
      <alignment/>
      <protection/>
    </xf>
    <xf numFmtId="170" fontId="4" fillId="0" borderId="0" xfId="54" applyNumberFormat="1" applyFont="1" applyFill="1" applyProtection="1">
      <alignment/>
      <protection/>
    </xf>
    <xf numFmtId="3" fontId="28" fillId="33" borderId="10" xfId="54" applyNumberFormat="1" applyFont="1" applyFill="1" applyBorder="1" applyProtection="1">
      <alignment/>
      <protection/>
    </xf>
    <xf numFmtId="0" fontId="10" fillId="33" borderId="13" xfId="54" applyFont="1" applyFill="1" applyBorder="1" applyAlignment="1" applyProtection="1">
      <alignment horizontal="center"/>
      <protection/>
    </xf>
    <xf numFmtId="0" fontId="10" fillId="33" borderId="16" xfId="54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9" fontId="4" fillId="0" borderId="0" xfId="0" applyNumberFormat="1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9" fontId="4" fillId="33" borderId="25" xfId="57" applyFont="1" applyFill="1" applyBorder="1" applyAlignment="1" applyProtection="1">
      <alignment horizontal="right" vertical="center"/>
      <protection/>
    </xf>
    <xf numFmtId="9" fontId="4" fillId="33" borderId="10" xfId="57" applyFont="1" applyFill="1" applyBorder="1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 applyProtection="1">
      <alignment/>
      <protection/>
    </xf>
    <xf numFmtId="9" fontId="4" fillId="33" borderId="26" xfId="57" applyFont="1" applyFill="1" applyBorder="1" applyAlignment="1" applyProtection="1">
      <alignment horizontal="right" vertical="center"/>
      <protection/>
    </xf>
    <xf numFmtId="9" fontId="4" fillId="33" borderId="0" xfId="57" applyFont="1" applyFill="1" applyBorder="1" applyAlignment="1" applyProtection="1">
      <alignment horizontal="right" vertical="center"/>
      <protection/>
    </xf>
    <xf numFmtId="0" fontId="4" fillId="33" borderId="26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8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70" fontId="4" fillId="33" borderId="1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/>
    </xf>
    <xf numFmtId="170" fontId="4" fillId="34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4" fillId="33" borderId="23" xfId="0" applyFont="1" applyFill="1" applyBorder="1" applyAlignment="1" applyProtection="1">
      <alignment horizontal="left" indent="1"/>
      <protection/>
    </xf>
    <xf numFmtId="38" fontId="4" fillId="33" borderId="16" xfId="5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7" xfId="50" applyNumberFormat="1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5" fillId="33" borderId="24" xfId="0" applyFont="1" applyFill="1" applyBorder="1" applyAlignment="1" applyProtection="1">
      <alignment horizontal="left" indent="1"/>
      <protection/>
    </xf>
    <xf numFmtId="0" fontId="4" fillId="0" borderId="28" xfId="0" applyFont="1" applyFill="1" applyBorder="1" applyAlignment="1" applyProtection="1">
      <alignment/>
      <protection/>
    </xf>
    <xf numFmtId="38" fontId="4" fillId="0" borderId="0" xfId="5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 horizontal="center"/>
      <protection/>
    </xf>
    <xf numFmtId="170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/>
      <protection/>
    </xf>
    <xf numFmtId="170" fontId="5" fillId="34" borderId="0" xfId="0" applyNumberFormat="1" applyFont="1" applyFill="1" applyBorder="1" applyAlignment="1" applyProtection="1">
      <alignment/>
      <protection/>
    </xf>
    <xf numFmtId="170" fontId="15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3" fontId="4" fillId="33" borderId="10" xfId="57" applyNumberFormat="1" applyFont="1" applyFill="1" applyBorder="1" applyAlignment="1" applyProtection="1">
      <alignment horizontal="right" vertical="center"/>
      <protection/>
    </xf>
    <xf numFmtId="3" fontId="4" fillId="33" borderId="25" xfId="57" applyNumberFormat="1" applyFont="1" applyFill="1" applyBorder="1" applyAlignment="1" applyProtection="1">
      <alignment horizontal="right" vertical="center"/>
      <protection/>
    </xf>
    <xf numFmtId="3" fontId="4" fillId="33" borderId="15" xfId="57" applyNumberFormat="1" applyFont="1" applyFill="1" applyBorder="1" applyAlignment="1" applyProtection="1">
      <alignment horizontal="right" vertical="center"/>
      <protection/>
    </xf>
    <xf numFmtId="3" fontId="4" fillId="33" borderId="29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2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29" fillId="34" borderId="0" xfId="0" applyFont="1" applyFill="1" applyAlignment="1" applyProtection="1">
      <alignment/>
      <protection/>
    </xf>
    <xf numFmtId="170" fontId="29" fillId="34" borderId="0" xfId="0" applyNumberFormat="1" applyFont="1" applyFill="1" applyAlignment="1" applyProtection="1">
      <alignment/>
      <protection/>
    </xf>
    <xf numFmtId="177" fontId="29" fillId="34" borderId="0" xfId="0" applyNumberFormat="1" applyFont="1" applyFill="1" applyAlignment="1" applyProtection="1">
      <alignment/>
      <protection/>
    </xf>
    <xf numFmtId="3" fontId="29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40" fontId="4" fillId="0" borderId="0" xfId="66" applyNumberFormat="1" applyFont="1" applyFill="1" applyAlignment="1" applyProtection="1">
      <alignment/>
      <protection/>
    </xf>
    <xf numFmtId="3" fontId="5" fillId="33" borderId="10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71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18" fillId="0" borderId="0" xfId="66" applyNumberFormat="1" applyFont="1" applyFill="1" applyAlignment="1" applyProtection="1">
      <alignment/>
      <protection/>
    </xf>
    <xf numFmtId="40" fontId="18" fillId="0" borderId="0" xfId="66" applyNumberFormat="1" applyFont="1" applyFill="1" applyBorder="1" applyAlignment="1" applyProtection="1">
      <alignment/>
      <protection/>
    </xf>
    <xf numFmtId="40" fontId="4" fillId="0" borderId="0" xfId="66" applyNumberFormat="1" applyFont="1" applyFill="1" applyBorder="1" applyAlignment="1" applyProtection="1">
      <alignment horizontal="right"/>
      <protection/>
    </xf>
    <xf numFmtId="40" fontId="18" fillId="0" borderId="0" xfId="66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/>
      <protection/>
    </xf>
    <xf numFmtId="10" fontId="5" fillId="33" borderId="10" xfId="57" applyNumberFormat="1" applyFont="1" applyFill="1" applyBorder="1" applyAlignment="1" applyProtection="1">
      <alignment horizontal="right" vertical="center"/>
      <protection/>
    </xf>
    <xf numFmtId="40" fontId="4" fillId="0" borderId="0" xfId="66" applyNumberFormat="1" applyFont="1" applyFill="1" applyBorder="1" applyAlignment="1" applyProtection="1">
      <alignment horizontal="left"/>
      <protection/>
    </xf>
    <xf numFmtId="10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71" fontId="4" fillId="0" borderId="0" xfId="0" applyNumberFormat="1" applyFont="1" applyFill="1" applyAlignment="1" applyProtection="1">
      <alignment/>
      <protection/>
    </xf>
    <xf numFmtId="40" fontId="4" fillId="34" borderId="0" xfId="66" applyNumberFormat="1" applyFont="1" applyFill="1" applyAlignment="1" applyProtection="1">
      <alignment/>
      <protection/>
    </xf>
    <xf numFmtId="40" fontId="4" fillId="34" borderId="0" xfId="66" applyNumberFormat="1" applyFont="1" applyFill="1" applyBorder="1" applyAlignment="1" applyProtection="1">
      <alignment/>
      <protection/>
    </xf>
    <xf numFmtId="170" fontId="4" fillId="0" borderId="16" xfId="0" applyNumberFormat="1" applyFont="1" applyFill="1" applyBorder="1" applyAlignment="1" applyProtection="1">
      <alignment vertical="center"/>
      <protection locked="0"/>
    </xf>
    <xf numFmtId="170" fontId="5" fillId="35" borderId="10" xfId="0" applyNumberFormat="1" applyFont="1" applyFill="1" applyBorder="1" applyAlignment="1" applyProtection="1">
      <alignment vertical="center"/>
      <protection locked="0"/>
    </xf>
    <xf numFmtId="170" fontId="13" fillId="35" borderId="10" xfId="0" applyNumberFormat="1" applyFont="1" applyFill="1" applyBorder="1" applyAlignment="1" applyProtection="1">
      <alignment vertical="center"/>
      <protection locked="0"/>
    </xf>
    <xf numFmtId="170" fontId="4" fillId="35" borderId="10" xfId="0" applyNumberFormat="1" applyFont="1" applyFill="1" applyBorder="1" applyAlignment="1" applyProtection="1">
      <alignment vertical="center"/>
      <protection locked="0"/>
    </xf>
    <xf numFmtId="9" fontId="13" fillId="35" borderId="10" xfId="57" applyFont="1" applyFill="1" applyBorder="1" applyAlignment="1" applyProtection="1">
      <alignment vertical="center"/>
      <protection locked="0"/>
    </xf>
    <xf numFmtId="10" fontId="13" fillId="35" borderId="10" xfId="57" applyNumberFormat="1" applyFont="1" applyFill="1" applyBorder="1" applyAlignment="1" applyProtection="1">
      <alignment vertical="center"/>
      <protection locked="0"/>
    </xf>
    <xf numFmtId="173" fontId="13" fillId="35" borderId="10" xfId="0" applyNumberFormat="1" applyFont="1" applyFill="1" applyBorder="1" applyAlignment="1" applyProtection="1">
      <alignment vertical="center"/>
      <protection locked="0"/>
    </xf>
    <xf numFmtId="173" fontId="4" fillId="35" borderId="10" xfId="0" applyNumberFormat="1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3" fontId="5" fillId="33" borderId="10" xfId="57" applyNumberFormat="1" applyFont="1" applyFill="1" applyBorder="1" applyAlignment="1" applyProtection="1">
      <alignment horizontal="right" vertical="center"/>
      <protection locked="0"/>
    </xf>
    <xf numFmtId="40" fontId="18" fillId="0" borderId="0" xfId="66" applyNumberFormat="1" applyFont="1" applyFill="1" applyBorder="1" applyAlignment="1" applyProtection="1">
      <alignment/>
      <protection locked="0"/>
    </xf>
    <xf numFmtId="40" fontId="4" fillId="0" borderId="0" xfId="66" applyNumberFormat="1" applyFont="1" applyFill="1" applyAlignment="1" applyProtection="1">
      <alignment/>
      <protection locked="0"/>
    </xf>
    <xf numFmtId="40" fontId="4" fillId="0" borderId="0" xfId="66" applyNumberFormat="1" applyFont="1" applyFill="1" applyBorder="1" applyAlignment="1" applyProtection="1">
      <alignment horizontal="right"/>
      <protection locked="0"/>
    </xf>
    <xf numFmtId="40" fontId="18" fillId="0" borderId="0" xfId="66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/>
      <protection/>
    </xf>
    <xf numFmtId="9" fontId="4" fillId="33" borderId="24" xfId="57" applyFont="1" applyFill="1" applyBorder="1" applyAlignment="1" applyProtection="1">
      <alignment horizontal="right" vertical="center"/>
      <protection/>
    </xf>
    <xf numFmtId="0" fontId="5" fillId="34" borderId="30" xfId="0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left" indent="1"/>
      <protection/>
    </xf>
    <xf numFmtId="0" fontId="4" fillId="34" borderId="31" xfId="0" applyFont="1" applyFill="1" applyBorder="1" applyAlignment="1" applyProtection="1">
      <alignment/>
      <protection/>
    </xf>
    <xf numFmtId="3" fontId="5" fillId="34" borderId="32" xfId="0" applyNumberFormat="1" applyFont="1" applyFill="1" applyBorder="1" applyAlignment="1" applyProtection="1">
      <alignment/>
      <protection/>
    </xf>
    <xf numFmtId="4" fontId="4" fillId="34" borderId="32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2" xfId="0" applyNumberFormat="1" applyFont="1" applyFill="1" applyBorder="1" applyAlignment="1" applyProtection="1">
      <alignment horizontal="right"/>
      <protection/>
    </xf>
    <xf numFmtId="0" fontId="4" fillId="33" borderId="13" xfId="54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" fontId="31" fillId="33" borderId="10" xfId="54" applyNumberFormat="1" applyFont="1" applyFill="1" applyBorder="1" applyAlignment="1" applyProtection="1">
      <alignment horizontal="right"/>
      <protection/>
    </xf>
    <xf numFmtId="3" fontId="28" fillId="33" borderId="10" xfId="54" applyNumberFormat="1" applyFont="1" applyFill="1" applyBorder="1" applyAlignment="1" applyProtection="1">
      <alignment horizontal="right"/>
      <protection/>
    </xf>
    <xf numFmtId="3" fontId="5" fillId="33" borderId="10" xfId="54" applyNumberFormat="1" applyFont="1" applyFill="1" applyBorder="1" applyAlignment="1" applyProtection="1">
      <alignment horizontal="right"/>
      <protection/>
    </xf>
    <xf numFmtId="3" fontId="31" fillId="33" borderId="10" xfId="54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33" borderId="23" xfId="54" applyFont="1" applyFill="1" applyBorder="1" applyProtection="1">
      <alignment/>
      <protection/>
    </xf>
    <xf numFmtId="0" fontId="4" fillId="33" borderId="27" xfId="54" applyFont="1" applyFill="1" applyBorder="1" applyProtection="1">
      <alignment/>
      <protection/>
    </xf>
    <xf numFmtId="170" fontId="32" fillId="33" borderId="10" xfId="54" applyNumberFormat="1" applyFont="1" applyFill="1" applyBorder="1" applyProtection="1">
      <alignment/>
      <protection/>
    </xf>
    <xf numFmtId="10" fontId="18" fillId="33" borderId="10" xfId="57" applyNumberFormat="1" applyFont="1" applyFill="1" applyBorder="1" applyAlignment="1" applyProtection="1">
      <alignment/>
      <protection/>
    </xf>
    <xf numFmtId="170" fontId="8" fillId="33" borderId="11" xfId="54" applyNumberFormat="1" applyFont="1" applyFill="1" applyBorder="1" applyProtection="1">
      <alignment/>
      <protection/>
    </xf>
    <xf numFmtId="170" fontId="4" fillId="33" borderId="25" xfId="54" applyNumberFormat="1" applyFont="1" applyFill="1" applyBorder="1" applyProtection="1">
      <alignment/>
      <protection/>
    </xf>
    <xf numFmtId="170" fontId="5" fillId="33" borderId="10" xfId="54" applyNumberFormat="1" applyFont="1" applyFill="1" applyBorder="1" applyAlignment="1" applyProtection="1">
      <alignment/>
      <protection/>
    </xf>
    <xf numFmtId="0" fontId="5" fillId="33" borderId="26" xfId="54" applyFont="1" applyFill="1" applyBorder="1" applyProtection="1">
      <alignment/>
      <protection/>
    </xf>
    <xf numFmtId="0" fontId="5" fillId="33" borderId="14" xfId="54" applyFont="1" applyFill="1" applyBorder="1" applyProtection="1">
      <alignment/>
      <protection/>
    </xf>
    <xf numFmtId="170" fontId="5" fillId="0" borderId="0" xfId="54" applyNumberFormat="1" applyFont="1" applyFill="1" applyBorder="1" applyAlignment="1" applyProtection="1">
      <alignment/>
      <protection/>
    </xf>
    <xf numFmtId="170" fontId="4" fillId="33" borderId="11" xfId="54" applyNumberFormat="1" applyFont="1" applyFill="1" applyBorder="1" applyProtection="1">
      <alignment/>
      <protection/>
    </xf>
    <xf numFmtId="0" fontId="4" fillId="33" borderId="14" xfId="0" applyFont="1" applyFill="1" applyBorder="1" applyAlignment="1" applyProtection="1">
      <alignment horizontal="left" indent="1"/>
      <protection/>
    </xf>
    <xf numFmtId="170" fontId="4" fillId="33" borderId="11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3" fontId="4" fillId="33" borderId="36" xfId="57" applyNumberFormat="1" applyFont="1" applyFill="1" applyBorder="1" applyAlignment="1" applyProtection="1">
      <alignment horizontal="right" vertical="center"/>
      <protection/>
    </xf>
    <xf numFmtId="9" fontId="4" fillId="33" borderId="36" xfId="57" applyFont="1" applyFill="1" applyBorder="1" applyAlignment="1" applyProtection="1">
      <alignment horizontal="right" vertical="center"/>
      <protection/>
    </xf>
    <xf numFmtId="9" fontId="4" fillId="33" borderId="37" xfId="57" applyFont="1" applyFill="1" applyBorder="1" applyAlignment="1" applyProtection="1">
      <alignment horizontal="right" vertical="center"/>
      <protection/>
    </xf>
    <xf numFmtId="9" fontId="4" fillId="33" borderId="38" xfId="57" applyFont="1" applyFill="1" applyBorder="1" applyAlignment="1" applyProtection="1">
      <alignment horizontal="right" vertical="center"/>
      <protection/>
    </xf>
    <xf numFmtId="4" fontId="4" fillId="33" borderId="36" xfId="0" applyNumberFormat="1" applyFont="1" applyFill="1" applyBorder="1" applyAlignment="1" applyProtection="1">
      <alignment horizontal="right" vertical="center"/>
      <protection/>
    </xf>
    <xf numFmtId="4" fontId="4" fillId="33" borderId="37" xfId="0" applyNumberFormat="1" applyFont="1" applyFill="1" applyBorder="1" applyAlignment="1" applyProtection="1">
      <alignment horizontal="right" vertical="center"/>
      <protection/>
    </xf>
    <xf numFmtId="4" fontId="4" fillId="33" borderId="38" xfId="0" applyNumberFormat="1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9" fontId="4" fillId="33" borderId="41" xfId="57" applyFont="1" applyFill="1" applyBorder="1" applyAlignment="1" applyProtection="1">
      <alignment horizontal="right" vertical="center"/>
      <protection/>
    </xf>
    <xf numFmtId="9" fontId="4" fillId="33" borderId="42" xfId="57" applyFont="1" applyFill="1" applyBorder="1" applyAlignment="1" applyProtection="1">
      <alignment horizontal="right" vertical="center"/>
      <protection/>
    </xf>
    <xf numFmtId="9" fontId="4" fillId="33" borderId="43" xfId="57" applyFont="1" applyFill="1" applyBorder="1" applyAlignment="1" applyProtection="1">
      <alignment horizontal="right" vertical="center"/>
      <protection/>
    </xf>
    <xf numFmtId="0" fontId="4" fillId="33" borderId="44" xfId="0" applyFont="1" applyFill="1" applyBorder="1" applyAlignment="1" applyProtection="1">
      <alignment horizontal="left"/>
      <protection/>
    </xf>
    <xf numFmtId="170" fontId="5" fillId="33" borderId="2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4" xfId="0" applyNumberFormat="1" applyFont="1" applyFill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vertical="center"/>
      <protection/>
    </xf>
    <xf numFmtId="4" fontId="5" fillId="33" borderId="12" xfId="0" applyNumberFormat="1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 applyProtection="1">
      <alignment/>
      <protection/>
    </xf>
    <xf numFmtId="173" fontId="4" fillId="35" borderId="10" xfId="0" applyNumberFormat="1" applyFont="1" applyFill="1" applyBorder="1" applyAlignment="1" applyProtection="1">
      <alignment horizontal="right"/>
      <protection/>
    </xf>
    <xf numFmtId="173" fontId="5" fillId="35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70" fontId="5" fillId="33" borderId="10" xfId="0" applyNumberFormat="1" applyFont="1" applyFill="1" applyBorder="1" applyAlignment="1" applyProtection="1">
      <alignment horizontal="right" vertical="center"/>
      <protection/>
    </xf>
    <xf numFmtId="170" fontId="4" fillId="0" borderId="10" xfId="0" applyNumberFormat="1" applyFont="1" applyFill="1" applyBorder="1" applyAlignment="1" applyProtection="1">
      <alignment horizontal="right" vertical="center"/>
      <protection locked="0"/>
    </xf>
    <xf numFmtId="170" fontId="5" fillId="33" borderId="12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 locked="0"/>
    </xf>
    <xf numFmtId="38" fontId="4" fillId="33" borderId="13" xfId="0" applyNumberFormat="1" applyFont="1" applyFill="1" applyBorder="1" applyAlignment="1" applyProtection="1">
      <alignment horizontal="left" indent="1"/>
      <protection/>
    </xf>
    <xf numFmtId="3" fontId="13" fillId="0" borderId="10" xfId="57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5" fillId="34" borderId="45" xfId="0" applyFont="1" applyFill="1" applyBorder="1" applyAlignment="1" applyProtection="1">
      <alignment horizontal="center"/>
      <protection/>
    </xf>
    <xf numFmtId="3" fontId="4" fillId="34" borderId="45" xfId="0" applyNumberFormat="1" applyFont="1" applyFill="1" applyBorder="1" applyAlignment="1" applyProtection="1">
      <alignment horizontal="center"/>
      <protection/>
    </xf>
    <xf numFmtId="0" fontId="4" fillId="34" borderId="45" xfId="0" applyFont="1" applyFill="1" applyBorder="1" applyAlignment="1" applyProtection="1">
      <alignment horizontal="center"/>
      <protection/>
    </xf>
    <xf numFmtId="174" fontId="4" fillId="34" borderId="45" xfId="0" applyNumberFormat="1" applyFont="1" applyFill="1" applyBorder="1" applyAlignment="1" applyProtection="1">
      <alignment horizontal="center"/>
      <protection/>
    </xf>
    <xf numFmtId="172" fontId="4" fillId="34" borderId="45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1" fontId="4" fillId="34" borderId="45" xfId="0" applyNumberFormat="1" applyFont="1" applyFill="1" applyBorder="1" applyAlignment="1" applyProtection="1">
      <alignment horizontal="center"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3" borderId="19" xfId="54" applyFont="1" applyFill="1" applyBorder="1" applyProtection="1">
      <alignment/>
      <protection/>
    </xf>
    <xf numFmtId="3" fontId="4" fillId="33" borderId="29" xfId="54" applyNumberFormat="1" applyFont="1" applyFill="1" applyBorder="1" applyAlignment="1" applyProtection="1">
      <alignment/>
      <protection/>
    </xf>
    <xf numFmtId="0" fontId="4" fillId="33" borderId="46" xfId="54" applyFont="1" applyFill="1" applyBorder="1" applyAlignment="1" applyProtection="1">
      <alignment horizontal="left" indent="2"/>
      <protection/>
    </xf>
    <xf numFmtId="10" fontId="4" fillId="33" borderId="46" xfId="58" applyNumberFormat="1" applyFont="1" applyFill="1" applyBorder="1" applyAlignment="1" applyProtection="1">
      <alignment/>
      <protection/>
    </xf>
    <xf numFmtId="170" fontId="4" fillId="33" borderId="46" xfId="54" applyNumberFormat="1" applyFont="1" applyFill="1" applyBorder="1" applyProtection="1">
      <alignment/>
      <protection/>
    </xf>
    <xf numFmtId="0" fontId="4" fillId="33" borderId="46" xfId="54" applyFont="1" applyFill="1" applyBorder="1" applyProtection="1">
      <alignment/>
      <protection/>
    </xf>
    <xf numFmtId="3" fontId="4" fillId="33" borderId="46" xfId="54" applyNumberFormat="1" applyFont="1" applyFill="1" applyBorder="1" applyAlignment="1" applyProtection="1">
      <alignment/>
      <protection/>
    </xf>
    <xf numFmtId="0" fontId="5" fillId="33" borderId="46" xfId="54" applyFont="1" applyFill="1" applyBorder="1" applyProtection="1">
      <alignment/>
      <protection/>
    </xf>
    <xf numFmtId="170" fontId="8" fillId="33" borderId="46" xfId="54" applyNumberFormat="1" applyFont="1" applyFill="1" applyBorder="1" applyProtection="1">
      <alignment/>
      <protection/>
    </xf>
    <xf numFmtId="170" fontId="4" fillId="33" borderId="46" xfId="54" applyNumberFormat="1" applyFont="1" applyFill="1" applyBorder="1" applyProtection="1" quotePrefix="1">
      <alignment/>
      <protection/>
    </xf>
    <xf numFmtId="0" fontId="1" fillId="34" borderId="0" xfId="53" applyFont="1" applyFill="1" applyProtection="1">
      <alignment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10" fontId="13" fillId="0" borderId="12" xfId="57" applyNumberFormat="1" applyFont="1" applyFill="1" applyBorder="1" applyAlignment="1" applyProtection="1">
      <alignment horizontal="center" vertical="center"/>
      <protection locked="0"/>
    </xf>
    <xf numFmtId="169" fontId="13" fillId="0" borderId="10" xfId="0" applyNumberFormat="1" applyFont="1" applyFill="1" applyBorder="1" applyAlignment="1" applyProtection="1">
      <alignment/>
      <protection locked="0"/>
    </xf>
    <xf numFmtId="169" fontId="13" fillId="33" borderId="10" xfId="57" applyNumberFormat="1" applyFont="1" applyFill="1" applyBorder="1" applyAlignment="1" applyProtection="1">
      <alignment horizontal="center" vertical="center"/>
      <protection/>
    </xf>
    <xf numFmtId="169" fontId="13" fillId="33" borderId="10" xfId="0" applyNumberFormat="1" applyFont="1" applyFill="1" applyBorder="1" applyAlignment="1" applyProtection="1">
      <alignment/>
      <protection/>
    </xf>
    <xf numFmtId="10" fontId="13" fillId="0" borderId="10" xfId="57" applyNumberFormat="1" applyFont="1" applyFill="1" applyBorder="1" applyAlignment="1" applyProtection="1">
      <alignment horizontal="center"/>
      <protection locked="0"/>
    </xf>
    <xf numFmtId="0" fontId="120" fillId="2" borderId="0" xfId="0" applyFont="1" applyFill="1" applyBorder="1" applyAlignment="1" applyProtection="1">
      <alignment/>
      <protection/>
    </xf>
    <xf numFmtId="3" fontId="5" fillId="2" borderId="45" xfId="57" applyNumberFormat="1" applyFont="1" applyFill="1" applyBorder="1" applyAlignment="1" applyProtection="1">
      <alignment horizontal="center" vertical="center"/>
      <protection/>
    </xf>
    <xf numFmtId="0" fontId="121" fillId="37" borderId="0" xfId="0" applyFont="1" applyFill="1" applyBorder="1" applyAlignment="1" applyProtection="1">
      <alignment/>
      <protection/>
    </xf>
    <xf numFmtId="170" fontId="4" fillId="7" borderId="46" xfId="54" applyNumberFormat="1" applyFont="1" applyFill="1" applyBorder="1" applyProtection="1">
      <alignment/>
      <protection/>
    </xf>
    <xf numFmtId="4" fontId="4" fillId="34" borderId="32" xfId="0" applyNumberFormat="1" applyFont="1" applyFill="1" applyBorder="1" applyAlignment="1" applyProtection="1" quotePrefix="1">
      <alignment/>
      <protection/>
    </xf>
    <xf numFmtId="173" fontId="5" fillId="38" borderId="29" xfId="0" applyNumberFormat="1" applyFont="1" applyFill="1" applyBorder="1" applyAlignment="1" applyProtection="1">
      <alignment horizontal="right"/>
      <protection/>
    </xf>
    <xf numFmtId="0" fontId="4" fillId="33" borderId="29" xfId="0" applyFont="1" applyFill="1" applyBorder="1" applyAlignment="1" applyProtection="1">
      <alignment/>
      <protection hidden="1"/>
    </xf>
    <xf numFmtId="3" fontId="4" fillId="33" borderId="10" xfId="54" applyNumberFormat="1" applyFont="1" applyFill="1" applyBorder="1" applyAlignment="1" applyProtection="1">
      <alignment horizontal="right"/>
      <protection/>
    </xf>
    <xf numFmtId="3" fontId="5" fillId="33" borderId="10" xfId="54" applyNumberFormat="1" applyFont="1" applyFill="1" applyBorder="1" applyProtection="1">
      <alignment/>
      <protection/>
    </xf>
    <xf numFmtId="3" fontId="4" fillId="33" borderId="10" xfId="54" applyNumberFormat="1" applyFont="1" applyFill="1" applyBorder="1" applyProtection="1">
      <alignment/>
      <protection/>
    </xf>
    <xf numFmtId="0" fontId="122" fillId="33" borderId="46" xfId="54" applyFont="1" applyFill="1" applyBorder="1" applyAlignment="1" applyProtection="1">
      <alignment horizontal="left" indent="2"/>
      <protection/>
    </xf>
    <xf numFmtId="10" fontId="122" fillId="33" borderId="46" xfId="58" applyNumberFormat="1" applyFont="1" applyFill="1" applyBorder="1" applyAlignment="1" applyProtection="1">
      <alignment/>
      <protection/>
    </xf>
    <xf numFmtId="170" fontId="122" fillId="33" borderId="46" xfId="54" applyNumberFormat="1" applyFont="1" applyFill="1" applyBorder="1" applyProtection="1">
      <alignment/>
      <protection/>
    </xf>
    <xf numFmtId="3" fontId="5" fillId="33" borderId="46" xfId="54" applyNumberFormat="1" applyFont="1" applyFill="1" applyBorder="1" applyAlignment="1" applyProtection="1">
      <alignment/>
      <protection/>
    </xf>
    <xf numFmtId="0" fontId="122" fillId="33" borderId="46" xfId="54" applyFont="1" applyFill="1" applyBorder="1" applyProtection="1">
      <alignment/>
      <protection/>
    </xf>
    <xf numFmtId="0" fontId="122" fillId="39" borderId="46" xfId="54" applyFont="1" applyFill="1" applyBorder="1" applyProtection="1">
      <alignment/>
      <protection/>
    </xf>
    <xf numFmtId="170" fontId="4" fillId="39" borderId="46" xfId="54" applyNumberFormat="1" applyFont="1" applyFill="1" applyBorder="1" applyProtection="1">
      <alignment/>
      <protection/>
    </xf>
    <xf numFmtId="170" fontId="4" fillId="40" borderId="46" xfId="54" applyNumberFormat="1" applyFont="1" applyFill="1" applyBorder="1" applyProtection="1" quotePrefix="1">
      <alignment/>
      <protection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5" fillId="33" borderId="16" xfId="0" applyFont="1" applyFill="1" applyBorder="1" applyAlignment="1" applyProtection="1">
      <alignment horizontal="right"/>
      <protection/>
    </xf>
    <xf numFmtId="3" fontId="5" fillId="0" borderId="0" xfId="57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/>
      <protection/>
    </xf>
    <xf numFmtId="169" fontId="36" fillId="0" borderId="0" xfId="0" applyNumberFormat="1" applyFont="1" applyFill="1" applyAlignment="1" applyProtection="1">
      <alignment/>
      <protection/>
    </xf>
    <xf numFmtId="0" fontId="36" fillId="34" borderId="0" xfId="0" applyFont="1" applyFill="1" applyAlignment="1" applyProtection="1">
      <alignment/>
      <protection/>
    </xf>
    <xf numFmtId="10" fontId="36" fillId="0" borderId="0" xfId="0" applyNumberFormat="1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123" fillId="0" borderId="0" xfId="0" applyFont="1" applyFill="1" applyAlignment="1" applyProtection="1">
      <alignment/>
      <protection hidden="1"/>
    </xf>
    <xf numFmtId="170" fontId="4" fillId="39" borderId="0" xfId="54" applyNumberFormat="1" applyFont="1" applyFill="1" applyProtection="1">
      <alignment/>
      <protection/>
    </xf>
    <xf numFmtId="0" fontId="23" fillId="33" borderId="16" xfId="0" applyFont="1" applyFill="1" applyBorder="1" applyAlignment="1" applyProtection="1">
      <alignment horizontal="right" vertical="center" wrapText="1"/>
      <protection/>
    </xf>
    <xf numFmtId="3" fontId="5" fillId="41" borderId="10" xfId="57" applyNumberFormat="1" applyFont="1" applyFill="1" applyBorder="1" applyAlignment="1" applyProtection="1">
      <alignment horizontal="center" vertical="center"/>
      <protection locked="0"/>
    </xf>
    <xf numFmtId="10" fontId="5" fillId="41" borderId="10" xfId="57" applyNumberFormat="1" applyFont="1" applyFill="1" applyBorder="1" applyAlignment="1" applyProtection="1">
      <alignment horizontal="center" vertical="center"/>
      <protection/>
    </xf>
    <xf numFmtId="8" fontId="4" fillId="42" borderId="45" xfId="0" applyNumberFormat="1" applyFont="1" applyFill="1" applyBorder="1" applyAlignment="1" applyProtection="1">
      <alignment horizontal="center"/>
      <protection locked="0"/>
    </xf>
    <xf numFmtId="0" fontId="124" fillId="39" borderId="0" xfId="0" applyFont="1" applyFill="1" applyAlignment="1" applyProtection="1">
      <alignment horizontal="center" vertical="center" wrapText="1"/>
      <protection locked="0"/>
    </xf>
    <xf numFmtId="0" fontId="125" fillId="39" borderId="0" xfId="0" applyFont="1" applyFill="1" applyAlignment="1" applyProtection="1">
      <alignment horizontal="center" vertical="center" wrapText="1"/>
      <protection locked="0"/>
    </xf>
    <xf numFmtId="0" fontId="126" fillId="0" borderId="0" xfId="0" applyFont="1" applyBorder="1" applyAlignment="1">
      <alignment horizontal="center" wrapText="1"/>
    </xf>
    <xf numFmtId="0" fontId="127" fillId="39" borderId="0" xfId="0" applyFont="1" applyFill="1" applyBorder="1" applyAlignment="1">
      <alignment horizontal="center"/>
    </xf>
    <xf numFmtId="9" fontId="128" fillId="0" borderId="0" xfId="57" applyFont="1" applyFill="1" applyAlignment="1" applyProtection="1">
      <alignment/>
      <protection hidden="1"/>
    </xf>
    <xf numFmtId="9" fontId="128" fillId="0" borderId="0" xfId="57" applyFont="1" applyFill="1" applyAlignment="1" applyProtection="1">
      <alignment horizontal="center"/>
      <protection hidden="1"/>
    </xf>
    <xf numFmtId="2" fontId="129" fillId="0" borderId="0" xfId="57" applyNumberFormat="1" applyFont="1" applyFill="1" applyAlignment="1" applyProtection="1">
      <alignment/>
      <protection hidden="1"/>
    </xf>
    <xf numFmtId="0" fontId="130" fillId="43" borderId="0" xfId="0" applyFont="1" applyFill="1" applyBorder="1" applyAlignment="1" applyProtection="1">
      <alignment/>
      <protection hidden="1"/>
    </xf>
    <xf numFmtId="0" fontId="128" fillId="39" borderId="19" xfId="0" applyFont="1" applyFill="1" applyBorder="1" applyAlignment="1" applyProtection="1">
      <alignment horizontal="center"/>
      <protection locked="0"/>
    </xf>
    <xf numFmtId="0" fontId="129" fillId="39" borderId="16" xfId="0" applyFont="1" applyFill="1" applyBorder="1" applyAlignment="1" applyProtection="1">
      <alignment horizontal="center"/>
      <protection locked="0"/>
    </xf>
    <xf numFmtId="0" fontId="128" fillId="39" borderId="27" xfId="0" applyFont="1" applyFill="1" applyBorder="1" applyAlignment="1" applyProtection="1">
      <alignment horizontal="center"/>
      <protection locked="0"/>
    </xf>
    <xf numFmtId="0" fontId="128" fillId="39" borderId="10" xfId="0" applyFont="1" applyFill="1" applyBorder="1" applyAlignment="1" applyProtection="1">
      <alignment horizontal="center"/>
      <protection locked="0"/>
    </xf>
    <xf numFmtId="10" fontId="128" fillId="39" borderId="10" xfId="0" applyNumberFormat="1" applyFont="1" applyFill="1" applyBorder="1" applyAlignment="1" applyProtection="1">
      <alignment horizontal="center"/>
      <protection locked="0"/>
    </xf>
    <xf numFmtId="10" fontId="128" fillId="39" borderId="13" xfId="0" applyNumberFormat="1" applyFont="1" applyFill="1" applyBorder="1" applyAlignment="1" applyProtection="1">
      <alignment horizontal="center"/>
      <protection locked="0"/>
    </xf>
    <xf numFmtId="2" fontId="128" fillId="39" borderId="13" xfId="0" applyNumberFormat="1" applyFont="1" applyFill="1" applyBorder="1" applyAlignment="1" applyProtection="1">
      <alignment horizontal="center"/>
      <protection locked="0"/>
    </xf>
    <xf numFmtId="174" fontId="128" fillId="42" borderId="16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128" fillId="42" borderId="16" xfId="0" applyFont="1" applyFill="1" applyBorder="1" applyAlignment="1" applyProtection="1">
      <alignment horizontal="center"/>
      <protection hidden="1"/>
    </xf>
    <xf numFmtId="0" fontId="6" fillId="44" borderId="0" xfId="0" applyFont="1" applyFill="1" applyAlignment="1" applyProtection="1">
      <alignment horizontal="right"/>
      <protection hidden="1"/>
    </xf>
    <xf numFmtId="0" fontId="3" fillId="44" borderId="0" xfId="0" applyFont="1" applyFill="1" applyAlignment="1" applyProtection="1">
      <alignment horizontal="right"/>
      <protection locked="0"/>
    </xf>
    <xf numFmtId="0" fontId="7" fillId="44" borderId="10" xfId="53" applyFont="1" applyFill="1" applyBorder="1" applyAlignment="1" applyProtection="1">
      <alignment horizontal="center" vertical="center"/>
      <protection hidden="1"/>
    </xf>
    <xf numFmtId="0" fontId="7" fillId="44" borderId="0" xfId="53" applyFont="1" applyFill="1" applyBorder="1" applyAlignment="1" applyProtection="1">
      <alignment horizontal="center" vertical="center"/>
      <protection hidden="1"/>
    </xf>
    <xf numFmtId="0" fontId="6" fillId="44" borderId="0" xfId="0" applyFont="1" applyFill="1" applyAlignment="1" applyProtection="1">
      <alignment/>
      <protection/>
    </xf>
    <xf numFmtId="0" fontId="3" fillId="44" borderId="0" xfId="0" applyFont="1" applyFill="1" applyAlignment="1" applyProtection="1">
      <alignment horizontal="right"/>
      <protection/>
    </xf>
    <xf numFmtId="10" fontId="128" fillId="0" borderId="10" xfId="57" applyNumberFormat="1" applyFont="1" applyFill="1" applyBorder="1" applyAlignment="1" applyProtection="1">
      <alignment horizontal="center" vertical="center"/>
      <protection locked="0"/>
    </xf>
    <xf numFmtId="10" fontId="128" fillId="33" borderId="12" xfId="57" applyNumberFormat="1" applyFont="1" applyFill="1" applyBorder="1" applyAlignment="1" applyProtection="1">
      <alignment horizontal="center" vertical="center"/>
      <protection/>
    </xf>
    <xf numFmtId="0" fontId="131" fillId="0" borderId="0" xfId="0" applyFont="1" applyFill="1" applyAlignment="1" applyProtection="1">
      <alignment/>
      <protection/>
    </xf>
    <xf numFmtId="0" fontId="131" fillId="33" borderId="12" xfId="0" applyFont="1" applyFill="1" applyBorder="1" applyAlignment="1" applyProtection="1">
      <alignment horizontal="left"/>
      <protection/>
    </xf>
    <xf numFmtId="0" fontId="131" fillId="33" borderId="21" xfId="0" applyFont="1" applyFill="1" applyBorder="1" applyAlignment="1" applyProtection="1">
      <alignment/>
      <protection/>
    </xf>
    <xf numFmtId="10" fontId="130" fillId="33" borderId="12" xfId="57" applyNumberFormat="1" applyFont="1" applyFill="1" applyBorder="1" applyAlignment="1" applyProtection="1">
      <alignment horizontal="center" vertical="center"/>
      <protection/>
    </xf>
    <xf numFmtId="0" fontId="131" fillId="33" borderId="10" xfId="0" applyFont="1" applyFill="1" applyBorder="1" applyAlignment="1" applyProtection="1">
      <alignment horizontal="center" vertical="center"/>
      <protection/>
    </xf>
    <xf numFmtId="0" fontId="131" fillId="33" borderId="12" xfId="0" applyFont="1" applyFill="1" applyBorder="1" applyAlignment="1" applyProtection="1">
      <alignment horizontal="center"/>
      <protection/>
    </xf>
    <xf numFmtId="10" fontId="128" fillId="0" borderId="10" xfId="57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left"/>
      <protection/>
    </xf>
    <xf numFmtId="0" fontId="130" fillId="0" borderId="0" xfId="0" applyFont="1" applyFill="1" applyAlignment="1" applyProtection="1">
      <alignment horizontal="left"/>
      <protection/>
    </xf>
    <xf numFmtId="0" fontId="130" fillId="0" borderId="0" xfId="0" applyFont="1" applyFill="1" applyAlignment="1" applyProtection="1">
      <alignment horizontal="left" indent="1"/>
      <protection/>
    </xf>
    <xf numFmtId="0" fontId="6" fillId="44" borderId="0" xfId="0" applyFont="1" applyFill="1" applyAlignment="1" applyProtection="1">
      <alignment horizontal="left"/>
      <protection/>
    </xf>
    <xf numFmtId="0" fontId="3" fillId="44" borderId="0" xfId="0" applyFont="1" applyFill="1" applyAlignment="1" applyProtection="1">
      <alignment/>
      <protection/>
    </xf>
    <xf numFmtId="168" fontId="128" fillId="0" borderId="11" xfId="0" applyNumberFormat="1" applyFont="1" applyFill="1" applyBorder="1" applyAlignment="1" applyProtection="1">
      <alignment horizontal="center" vertical="center"/>
      <protection locked="0"/>
    </xf>
    <xf numFmtId="169" fontId="128" fillId="0" borderId="10" xfId="0" applyNumberFormat="1" applyFont="1" applyFill="1" applyBorder="1" applyAlignment="1" applyProtection="1">
      <alignment horizontal="center"/>
      <protection locked="0"/>
    </xf>
    <xf numFmtId="169" fontId="128" fillId="33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38" fontId="5" fillId="33" borderId="10" xfId="0" applyNumberFormat="1" applyFont="1" applyFill="1" applyBorder="1" applyAlignment="1" applyProtection="1">
      <alignment/>
      <protection/>
    </xf>
    <xf numFmtId="38" fontId="5" fillId="33" borderId="10" xfId="0" applyNumberFormat="1" applyFont="1" applyFill="1" applyBorder="1" applyAlignment="1" applyProtection="1">
      <alignment horizontal="left"/>
      <protection/>
    </xf>
    <xf numFmtId="0" fontId="4" fillId="39" borderId="13" xfId="0" applyFont="1" applyFill="1" applyBorder="1" applyAlignment="1" applyProtection="1">
      <alignment/>
      <protection/>
    </xf>
    <xf numFmtId="0" fontId="5" fillId="39" borderId="17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43" borderId="13" xfId="0" applyFont="1" applyFill="1" applyBorder="1" applyAlignment="1" applyProtection="1">
      <alignment/>
      <protection/>
    </xf>
    <xf numFmtId="0" fontId="5" fillId="43" borderId="17" xfId="0" applyFont="1" applyFill="1" applyBorder="1" applyAlignment="1" applyProtection="1">
      <alignment/>
      <protection/>
    </xf>
    <xf numFmtId="0" fontId="4" fillId="43" borderId="17" xfId="0" applyFont="1" applyFill="1" applyBorder="1" applyAlignment="1" applyProtection="1">
      <alignment/>
      <protection/>
    </xf>
    <xf numFmtId="0" fontId="5" fillId="43" borderId="18" xfId="0" applyFont="1" applyFill="1" applyBorder="1" applyAlignment="1" applyProtection="1">
      <alignment/>
      <protection/>
    </xf>
    <xf numFmtId="0" fontId="4" fillId="43" borderId="18" xfId="0" applyFont="1" applyFill="1" applyBorder="1" applyAlignment="1" applyProtection="1">
      <alignment/>
      <protection/>
    </xf>
    <xf numFmtId="0" fontId="6" fillId="44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 horizontal="right"/>
      <protection/>
    </xf>
    <xf numFmtId="1" fontId="5" fillId="39" borderId="10" xfId="57" applyNumberFormat="1" applyFont="1" applyFill="1" applyBorder="1" applyAlignment="1" applyProtection="1">
      <alignment horizontal="center"/>
      <protection locked="0"/>
    </xf>
    <xf numFmtId="10" fontId="128" fillId="0" borderId="10" xfId="57" applyNumberFormat="1" applyFont="1" applyFill="1" applyBorder="1" applyAlignment="1" applyProtection="1">
      <alignment/>
      <protection locked="0"/>
    </xf>
    <xf numFmtId="181" fontId="128" fillId="0" borderId="10" xfId="57" applyNumberFormat="1" applyFont="1" applyFill="1" applyBorder="1" applyAlignment="1" applyProtection="1">
      <alignment/>
      <protection locked="0"/>
    </xf>
    <xf numFmtId="0" fontId="129" fillId="33" borderId="13" xfId="54" applyFont="1" applyFill="1" applyBorder="1" applyAlignment="1" applyProtection="1">
      <alignment horizontal="center"/>
      <protection/>
    </xf>
    <xf numFmtId="0" fontId="3" fillId="44" borderId="0" xfId="0" applyFont="1" applyFill="1" applyBorder="1" applyAlignment="1" applyProtection="1">
      <alignment/>
      <protection/>
    </xf>
    <xf numFmtId="3" fontId="4" fillId="39" borderId="10" xfId="57" applyNumberFormat="1" applyFont="1" applyFill="1" applyBorder="1" applyAlignment="1" applyProtection="1">
      <alignment horizontal="right" vertical="center"/>
      <protection locked="0"/>
    </xf>
    <xf numFmtId="0" fontId="7" fillId="44" borderId="0" xfId="0" applyFont="1" applyFill="1" applyBorder="1" applyAlignment="1" applyProtection="1">
      <alignment/>
      <protection/>
    </xf>
    <xf numFmtId="0" fontId="8" fillId="44" borderId="0" xfId="0" applyFont="1" applyFill="1" applyBorder="1" applyAlignment="1" applyProtection="1">
      <alignment/>
      <protection/>
    </xf>
    <xf numFmtId="170" fontId="128" fillId="34" borderId="0" xfId="0" applyNumberFormat="1" applyFont="1" applyFill="1" applyAlignment="1" applyProtection="1">
      <alignment/>
      <protection/>
    </xf>
    <xf numFmtId="170" fontId="132" fillId="34" borderId="0" xfId="0" applyNumberFormat="1" applyFont="1" applyFill="1" applyAlignment="1" applyProtection="1">
      <alignment/>
      <protection/>
    </xf>
    <xf numFmtId="40" fontId="133" fillId="0" borderId="0" xfId="66" applyNumberFormat="1" applyFont="1" applyFill="1" applyBorder="1" applyAlignment="1" applyProtection="1">
      <alignment horizontal="left"/>
      <protection/>
    </xf>
    <xf numFmtId="0" fontId="134" fillId="0" borderId="0" xfId="0" applyFont="1" applyFill="1" applyAlignment="1" applyProtection="1">
      <alignment vertical="top"/>
      <protection/>
    </xf>
    <xf numFmtId="0" fontId="133" fillId="0" borderId="0" xfId="0" applyFont="1" applyFill="1" applyAlignment="1" applyProtection="1">
      <alignment horizontal="center"/>
      <protection/>
    </xf>
    <xf numFmtId="0" fontId="129" fillId="2" borderId="0" xfId="0" applyFont="1" applyFill="1" applyBorder="1" applyAlignment="1" applyProtection="1">
      <alignment/>
      <protection/>
    </xf>
    <xf numFmtId="0" fontId="128" fillId="37" borderId="0" xfId="0" applyFont="1" applyFill="1" applyBorder="1" applyAlignment="1" applyProtection="1">
      <alignment/>
      <protection/>
    </xf>
    <xf numFmtId="0" fontId="129" fillId="34" borderId="0" xfId="0" applyFont="1" applyFill="1" applyBorder="1" applyAlignment="1" applyProtection="1">
      <alignment/>
      <protection locked="0"/>
    </xf>
    <xf numFmtId="0" fontId="129" fillId="0" borderId="0" xfId="0" applyFont="1" applyFill="1" applyAlignment="1" applyProtection="1">
      <alignment/>
      <protection/>
    </xf>
    <xf numFmtId="0" fontId="8" fillId="44" borderId="0" xfId="0" applyFont="1" applyFill="1" applyBorder="1" applyAlignment="1" applyProtection="1">
      <alignment horizontal="right"/>
      <protection/>
    </xf>
    <xf numFmtId="0" fontId="4" fillId="31" borderId="0" xfId="0" applyFont="1" applyFill="1" applyAlignment="1" applyProtection="1">
      <alignment/>
      <protection/>
    </xf>
    <xf numFmtId="3" fontId="5" fillId="42" borderId="10" xfId="57" applyNumberFormat="1" applyFont="1" applyFill="1" applyBorder="1" applyAlignment="1" applyProtection="1">
      <alignment horizontal="center" vertical="center"/>
      <protection locked="0"/>
    </xf>
    <xf numFmtId="3" fontId="135" fillId="0" borderId="0" xfId="57" applyNumberFormat="1" applyFont="1" applyFill="1" applyBorder="1" applyAlignment="1" applyProtection="1">
      <alignment/>
      <protection/>
    </xf>
    <xf numFmtId="188" fontId="23" fillId="43" borderId="10" xfId="0" applyNumberFormat="1" applyFont="1" applyFill="1" applyBorder="1" applyAlignment="1" applyProtection="1">
      <alignment horizontal="center" vertical="center" wrapText="1"/>
      <protection/>
    </xf>
    <xf numFmtId="10" fontId="4" fillId="33" borderId="10" xfId="0" applyNumberFormat="1" applyFont="1" applyFill="1" applyBorder="1" applyAlignment="1" applyProtection="1">
      <alignment horizontal="center" vertical="center" wrapText="1"/>
      <protection/>
    </xf>
    <xf numFmtId="10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171" fontId="4" fillId="33" borderId="10" xfId="0" applyNumberFormat="1" applyFont="1" applyFill="1" applyBorder="1" applyAlignment="1" applyProtection="1">
      <alignment horizontal="center"/>
      <protection/>
    </xf>
    <xf numFmtId="10" fontId="136" fillId="0" borderId="0" xfId="0" applyNumberFormat="1" applyFont="1" applyFill="1" applyAlignment="1" applyProtection="1">
      <alignment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10" fontId="4" fillId="33" borderId="13" xfId="0" applyNumberFormat="1" applyFont="1" applyFill="1" applyBorder="1" applyAlignment="1" applyProtection="1">
      <alignment horizontal="center" vertical="center" wrapText="1"/>
      <protection/>
    </xf>
    <xf numFmtId="10" fontId="4" fillId="41" borderId="45" xfId="0" applyNumberFormat="1" applyFont="1" applyFill="1" applyBorder="1" applyAlignment="1" applyProtection="1">
      <alignment horizontal="center" vertical="center" wrapText="1"/>
      <protection/>
    </xf>
    <xf numFmtId="0" fontId="5" fillId="37" borderId="19" xfId="0" applyFont="1" applyFill="1" applyBorder="1" applyAlignment="1" applyProtection="1">
      <alignment horizontal="center"/>
      <protection/>
    </xf>
    <xf numFmtId="0" fontId="5" fillId="37" borderId="11" xfId="0" applyFont="1" applyFill="1" applyBorder="1" applyAlignment="1" applyProtection="1">
      <alignment horizontal="center"/>
      <protection/>
    </xf>
    <xf numFmtId="0" fontId="137" fillId="0" borderId="0" xfId="0" applyFont="1" applyFill="1" applyAlignment="1" applyProtection="1">
      <alignment vertical="top"/>
      <protection/>
    </xf>
    <xf numFmtId="0" fontId="138" fillId="0" borderId="0" xfId="0" applyFont="1" applyFill="1" applyAlignment="1" applyProtection="1">
      <alignment vertical="top"/>
      <protection/>
    </xf>
    <xf numFmtId="0" fontId="37" fillId="0" borderId="0" xfId="0" applyFont="1" applyFill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left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120" fillId="33" borderId="13" xfId="0" applyFont="1" applyFill="1" applyBorder="1" applyAlignment="1" applyProtection="1">
      <alignment/>
      <protection/>
    </xf>
    <xf numFmtId="0" fontId="139" fillId="0" borderId="0" xfId="0" applyFont="1" applyFill="1" applyAlignment="1" applyProtection="1">
      <alignment/>
      <protection/>
    </xf>
    <xf numFmtId="10" fontId="120" fillId="33" borderId="10" xfId="0" applyNumberFormat="1" applyFont="1" applyFill="1" applyBorder="1" applyAlignment="1" applyProtection="1">
      <alignment horizontal="center" vertical="center" wrapText="1"/>
      <protection/>
    </xf>
    <xf numFmtId="10" fontId="120" fillId="33" borderId="13" xfId="0" applyNumberFormat="1" applyFont="1" applyFill="1" applyBorder="1" applyAlignment="1" applyProtection="1">
      <alignment horizontal="center" vertical="center" wrapText="1"/>
      <protection/>
    </xf>
    <xf numFmtId="0" fontId="140" fillId="0" borderId="0" xfId="0" applyFont="1" applyFill="1" applyAlignment="1" applyProtection="1">
      <alignment vertical="top"/>
      <protection/>
    </xf>
    <xf numFmtId="0" fontId="4" fillId="42" borderId="16" xfId="0" applyFont="1" applyFill="1" applyBorder="1" applyAlignment="1" applyProtection="1">
      <alignment vertical="center" wrapText="1"/>
      <protection/>
    </xf>
    <xf numFmtId="0" fontId="120" fillId="42" borderId="13" xfId="0" applyFont="1" applyFill="1" applyBorder="1" applyAlignment="1" applyProtection="1">
      <alignment/>
      <protection/>
    </xf>
    <xf numFmtId="0" fontId="141" fillId="42" borderId="13" xfId="0" applyFont="1" applyFill="1" applyBorder="1" applyAlignment="1" applyProtection="1">
      <alignment/>
      <protection/>
    </xf>
    <xf numFmtId="10" fontId="121" fillId="42" borderId="10" xfId="0" applyNumberFormat="1" applyFont="1" applyFill="1" applyBorder="1" applyAlignment="1" applyProtection="1">
      <alignment horizontal="center" vertical="center" wrapText="1"/>
      <protection/>
    </xf>
    <xf numFmtId="0" fontId="121" fillId="42" borderId="16" xfId="0" applyFont="1" applyFill="1" applyBorder="1" applyAlignment="1" applyProtection="1">
      <alignment vertical="center" wrapText="1"/>
      <protection/>
    </xf>
    <xf numFmtId="0" fontId="142" fillId="45" borderId="0" xfId="0" applyFont="1" applyFill="1" applyAlignment="1" applyProtection="1">
      <alignment/>
      <protection/>
    </xf>
    <xf numFmtId="0" fontId="143" fillId="45" borderId="0" xfId="0" applyFont="1" applyFill="1" applyAlignment="1" applyProtection="1">
      <alignment/>
      <protection/>
    </xf>
    <xf numFmtId="3" fontId="144" fillId="45" borderId="0" xfId="57" applyNumberFormat="1" applyFont="1" applyFill="1" applyBorder="1" applyAlignment="1" applyProtection="1">
      <alignment horizontal="right" vertical="center"/>
      <protection/>
    </xf>
    <xf numFmtId="0" fontId="145" fillId="45" borderId="0" xfId="0" applyFont="1" applyFill="1" applyAlignment="1" applyProtection="1">
      <alignment horizontal="center"/>
      <protection/>
    </xf>
    <xf numFmtId="10" fontId="146" fillId="0" borderId="0" xfId="0" applyNumberFormat="1" applyFont="1" applyFill="1" applyAlignment="1" applyProtection="1">
      <alignment/>
      <protection/>
    </xf>
    <xf numFmtId="0" fontId="5" fillId="42" borderId="16" xfId="0" applyFont="1" applyFill="1" applyBorder="1" applyAlignment="1" applyProtection="1">
      <alignment vertical="center" wrapText="1"/>
      <protection/>
    </xf>
    <xf numFmtId="10" fontId="120" fillId="42" borderId="10" xfId="0" applyNumberFormat="1" applyFont="1" applyFill="1" applyBorder="1" applyAlignment="1" applyProtection="1">
      <alignment horizontal="center" vertical="center" wrapText="1"/>
      <protection/>
    </xf>
    <xf numFmtId="0" fontId="18" fillId="37" borderId="0" xfId="0" applyFont="1" applyFill="1" applyBorder="1" applyAlignment="1" applyProtection="1">
      <alignment/>
      <protection/>
    </xf>
    <xf numFmtId="0" fontId="147" fillId="46" borderId="0" xfId="0" applyFont="1" applyFill="1" applyAlignment="1" applyProtection="1">
      <alignment/>
      <protection/>
    </xf>
    <xf numFmtId="0" fontId="148" fillId="46" borderId="0" xfId="0" applyFont="1" applyFill="1" applyAlignment="1" applyProtection="1">
      <alignment/>
      <protection/>
    </xf>
    <xf numFmtId="10" fontId="148" fillId="46" borderId="0" xfId="0" applyNumberFormat="1" applyFont="1" applyFill="1" applyAlignment="1" applyProtection="1">
      <alignment/>
      <protection/>
    </xf>
    <xf numFmtId="0" fontId="149" fillId="46" borderId="0" xfId="0" applyFont="1" applyFill="1" applyAlignment="1" applyProtection="1">
      <alignment vertical="top"/>
      <protection/>
    </xf>
    <xf numFmtId="0" fontId="144" fillId="36" borderId="13" xfId="0" applyFont="1" applyFill="1" applyBorder="1" applyAlignment="1" applyProtection="1">
      <alignment/>
      <protection/>
    </xf>
    <xf numFmtId="0" fontId="144" fillId="36" borderId="16" xfId="0" applyFont="1" applyFill="1" applyBorder="1" applyAlignment="1" applyProtection="1">
      <alignment vertical="center" wrapText="1"/>
      <protection/>
    </xf>
    <xf numFmtId="190" fontId="143" fillId="36" borderId="10" xfId="0" applyNumberFormat="1" applyFont="1" applyFill="1" applyBorder="1" applyAlignment="1" applyProtection="1">
      <alignment horizontal="center" vertical="center" wrapText="1"/>
      <protection/>
    </xf>
    <xf numFmtId="190" fontId="143" fillId="36" borderId="10" xfId="0" applyNumberFormat="1" applyFont="1" applyFill="1" applyBorder="1" applyAlignment="1" applyProtection="1">
      <alignment horizontal="center"/>
      <protection/>
    </xf>
    <xf numFmtId="0" fontId="144" fillId="36" borderId="13" xfId="0" applyFont="1" applyFill="1" applyBorder="1" applyAlignment="1" applyProtection="1">
      <alignment horizontal="left"/>
      <protection/>
    </xf>
    <xf numFmtId="0" fontId="144" fillId="36" borderId="16" xfId="0" applyFont="1" applyFill="1" applyBorder="1" applyAlignment="1" applyProtection="1">
      <alignment horizontal="center"/>
      <protection/>
    </xf>
    <xf numFmtId="10" fontId="143" fillId="36" borderId="10" xfId="0" applyNumberFormat="1" applyFont="1" applyFill="1" applyBorder="1" applyAlignment="1" applyProtection="1">
      <alignment/>
      <protection/>
    </xf>
    <xf numFmtId="0" fontId="143" fillId="36" borderId="16" xfId="0" applyFont="1" applyFill="1" applyBorder="1" applyAlignment="1" applyProtection="1">
      <alignment vertical="center" wrapText="1"/>
      <protection/>
    </xf>
    <xf numFmtId="10" fontId="144" fillId="36" borderId="10" xfId="0" applyNumberFormat="1" applyFont="1" applyFill="1" applyBorder="1" applyAlignment="1" applyProtection="1">
      <alignment horizontal="center" vertical="center" wrapText="1"/>
      <protection/>
    </xf>
    <xf numFmtId="10" fontId="144" fillId="36" borderId="13" xfId="0" applyNumberFormat="1" applyFont="1" applyFill="1" applyBorder="1" applyAlignment="1" applyProtection="1">
      <alignment horizontal="center" vertical="center" wrapText="1"/>
      <protection/>
    </xf>
    <xf numFmtId="3" fontId="5" fillId="2" borderId="10" xfId="57" applyNumberFormat="1" applyFont="1" applyFill="1" applyBorder="1" applyAlignment="1" applyProtection="1">
      <alignment horizontal="center" vertical="center"/>
      <protection locked="0"/>
    </xf>
    <xf numFmtId="40" fontId="4" fillId="0" borderId="0" xfId="66" applyNumberFormat="1" applyFont="1" applyFill="1" applyAlignment="1" applyProtection="1">
      <alignment horizontal="center"/>
      <protection/>
    </xf>
    <xf numFmtId="188" fontId="5" fillId="2" borderId="10" xfId="57" applyNumberFormat="1" applyFont="1" applyFill="1" applyBorder="1" applyAlignment="1" applyProtection="1">
      <alignment horizontal="center" vertical="center"/>
      <protection locked="0"/>
    </xf>
    <xf numFmtId="0" fontId="4" fillId="39" borderId="13" xfId="0" applyFont="1" applyFill="1" applyBorder="1" applyAlignment="1" applyProtection="1">
      <alignment/>
      <protection locked="0"/>
    </xf>
    <xf numFmtId="0" fontId="5" fillId="39" borderId="17" xfId="0" applyFont="1" applyFill="1" applyBorder="1" applyAlignment="1" applyProtection="1">
      <alignment/>
      <protection locked="0"/>
    </xf>
    <xf numFmtId="0" fontId="4" fillId="39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9" fontId="13" fillId="33" borderId="10" xfId="57" applyFont="1" applyFill="1" applyBorder="1" applyAlignment="1" applyProtection="1">
      <alignment horizontal="center" vertical="center"/>
      <protection locked="0"/>
    </xf>
    <xf numFmtId="4" fontId="13" fillId="43" borderId="10" xfId="57" applyNumberFormat="1" applyFont="1" applyFill="1" applyBorder="1" applyAlignment="1" applyProtection="1">
      <alignment horizontal="center"/>
      <protection/>
    </xf>
    <xf numFmtId="0" fontId="150" fillId="39" borderId="0" xfId="0" applyFont="1" applyFill="1" applyAlignment="1">
      <alignment horizontal="center" vertical="center" wrapText="1"/>
    </xf>
    <xf numFmtId="0" fontId="4" fillId="42" borderId="0" xfId="0" applyFont="1" applyFill="1" applyAlignment="1" applyProtection="1">
      <alignment/>
      <protection hidden="1"/>
    </xf>
    <xf numFmtId="0" fontId="4" fillId="42" borderId="0" xfId="0" applyFont="1" applyFill="1" applyAlignment="1" applyProtection="1">
      <alignment horizontal="center"/>
      <protection hidden="1"/>
    </xf>
    <xf numFmtId="0" fontId="139" fillId="33" borderId="13" xfId="0" applyFont="1" applyFill="1" applyBorder="1" applyAlignment="1" applyProtection="1">
      <alignment horizontal="left"/>
      <protection hidden="1"/>
    </xf>
    <xf numFmtId="0" fontId="23" fillId="0" borderId="0" xfId="0" applyFont="1" applyFill="1" applyAlignment="1" applyProtection="1">
      <alignment/>
      <protection locked="0"/>
    </xf>
    <xf numFmtId="168" fontId="128" fillId="42" borderId="11" xfId="0" applyNumberFormat="1" applyFont="1" applyFill="1" applyBorder="1" applyAlignment="1" applyProtection="1">
      <alignment horizontal="center" vertical="center"/>
      <protection locked="0"/>
    </xf>
    <xf numFmtId="10" fontId="128" fillId="42" borderId="10" xfId="57" applyNumberFormat="1" applyFont="1" applyFill="1" applyBorder="1" applyAlignment="1" applyProtection="1">
      <alignment horizontal="center" vertical="center"/>
      <protection locked="0"/>
    </xf>
    <xf numFmtId="168" fontId="13" fillId="42" borderId="11" xfId="0" applyNumberFormat="1" applyFont="1" applyFill="1" applyBorder="1" applyAlignment="1" applyProtection="1">
      <alignment horizontal="center" vertical="center"/>
      <protection locked="0"/>
    </xf>
    <xf numFmtId="0" fontId="4" fillId="43" borderId="23" xfId="0" applyFont="1" applyFill="1" applyBorder="1" applyAlignment="1" applyProtection="1">
      <alignment/>
      <protection/>
    </xf>
    <xf numFmtId="0" fontId="5" fillId="43" borderId="20" xfId="0" applyFont="1" applyFill="1" applyBorder="1" applyAlignment="1" applyProtection="1">
      <alignment/>
      <protection/>
    </xf>
    <xf numFmtId="0" fontId="4" fillId="43" borderId="20" xfId="0" applyFont="1" applyFill="1" applyBorder="1" applyAlignment="1" applyProtection="1">
      <alignment/>
      <protection/>
    </xf>
    <xf numFmtId="3" fontId="4" fillId="2" borderId="10" xfId="0" applyNumberFormat="1" applyFont="1" applyFill="1" applyBorder="1" applyAlignment="1" applyProtection="1">
      <alignment/>
      <protection locked="0"/>
    </xf>
    <xf numFmtId="2" fontId="4" fillId="2" borderId="45" xfId="0" applyNumberFormat="1" applyFont="1" applyFill="1" applyBorder="1" applyAlignment="1" applyProtection="1">
      <alignment horizontal="center"/>
      <protection locked="0"/>
    </xf>
    <xf numFmtId="10" fontId="128" fillId="2" borderId="45" xfId="0" applyNumberFormat="1" applyFont="1" applyFill="1" applyBorder="1" applyAlignment="1" applyProtection="1">
      <alignment horizontal="center"/>
      <protection locked="0"/>
    </xf>
    <xf numFmtId="10" fontId="30" fillId="2" borderId="45" xfId="0" applyNumberFormat="1" applyFont="1" applyFill="1" applyBorder="1" applyAlignment="1" applyProtection="1">
      <alignment horizontal="center"/>
      <protection locked="0"/>
    </xf>
    <xf numFmtId="3" fontId="5" fillId="6" borderId="10" xfId="57" applyNumberFormat="1" applyFont="1" applyFill="1" applyBorder="1" applyAlignment="1">
      <alignment horizontal="center" vertical="center"/>
      <protection/>
    </xf>
    <xf numFmtId="10" fontId="4" fillId="6" borderId="45" xfId="0" applyNumberFormat="1" applyFont="1" applyFill="1" applyBorder="1" applyAlignment="1" applyProtection="1">
      <alignment horizontal="center" vertical="center" wrapText="1"/>
      <protection/>
    </xf>
    <xf numFmtId="171" fontId="4" fillId="6" borderId="10" xfId="0" applyNumberFormat="1" applyFont="1" applyFill="1" applyBorder="1" applyAlignment="1" applyProtection="1" quotePrefix="1">
      <alignment horizontal="center"/>
      <protection/>
    </xf>
    <xf numFmtId="10" fontId="121" fillId="6" borderId="10" xfId="0" applyNumberFormat="1" applyFont="1" applyFill="1" applyBorder="1" applyAlignment="1" applyProtection="1">
      <alignment horizontal="center" vertical="center" wrapText="1"/>
      <protection/>
    </xf>
    <xf numFmtId="3" fontId="5" fillId="6" borderId="10" xfId="57" applyNumberFormat="1" applyFont="1" applyFill="1" applyBorder="1" applyAlignment="1" applyProtection="1">
      <alignment horizontal="center" vertical="center"/>
      <protection/>
    </xf>
    <xf numFmtId="0" fontId="151" fillId="37" borderId="0" xfId="0" applyFont="1" applyFill="1" applyAlignment="1" applyProtection="1">
      <alignment/>
      <protection/>
    </xf>
    <xf numFmtId="0" fontId="5" fillId="5" borderId="13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 horizontal="center"/>
      <protection/>
    </xf>
    <xf numFmtId="3" fontId="121" fillId="5" borderId="10" xfId="0" applyNumberFormat="1" applyFont="1" applyFill="1" applyBorder="1" applyAlignment="1" applyProtection="1">
      <alignment/>
      <protection/>
    </xf>
    <xf numFmtId="3" fontId="4" fillId="5" borderId="10" xfId="0" applyNumberFormat="1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/>
      <protection/>
    </xf>
    <xf numFmtId="0" fontId="5" fillId="5" borderId="16" xfId="0" applyFont="1" applyFill="1" applyBorder="1" applyAlignment="1" applyProtection="1">
      <alignment horizontal="center"/>
      <protection/>
    </xf>
    <xf numFmtId="10" fontId="4" fillId="5" borderId="10" xfId="0" applyNumberFormat="1" applyFont="1" applyFill="1" applyBorder="1" applyAlignment="1" applyProtection="1">
      <alignment/>
      <protection/>
    </xf>
    <xf numFmtId="0" fontId="152" fillId="0" borderId="0" xfId="53" applyFont="1" applyFill="1" applyAlignment="1" applyProtection="1">
      <alignment horizontal="right" vertical="top" wrapText="1"/>
      <protection hidden="1"/>
    </xf>
    <xf numFmtId="0" fontId="153" fillId="0" borderId="0" xfId="53" applyFont="1" applyFill="1" applyAlignment="1" applyProtection="1">
      <alignment horizontal="right" vertical="top" wrapText="1"/>
      <protection hidden="1"/>
    </xf>
    <xf numFmtId="0" fontId="19" fillId="0" borderId="0" xfId="53" applyFont="1" applyFill="1" applyBorder="1" applyAlignment="1" applyProtection="1">
      <alignment horizontal="left" wrapText="1"/>
      <protection hidden="1"/>
    </xf>
    <xf numFmtId="0" fontId="154" fillId="0" borderId="47" xfId="53" applyFont="1" applyFill="1" applyBorder="1" applyAlignment="1" applyProtection="1">
      <alignment horizontal="center"/>
      <protection hidden="1"/>
    </xf>
    <xf numFmtId="0" fontId="19" fillId="0" borderId="0" xfId="53" applyFont="1" applyFill="1" applyBorder="1" applyAlignment="1" applyProtection="1">
      <alignment horizontal="left"/>
      <protection hidden="1"/>
    </xf>
    <xf numFmtId="0" fontId="33" fillId="0" borderId="0" xfId="53" applyFont="1" applyFill="1" applyAlignment="1" applyProtection="1">
      <alignment horizontal="center" vertical="center" wrapText="1"/>
      <protection hidden="1"/>
    </xf>
    <xf numFmtId="9" fontId="128" fillId="42" borderId="26" xfId="57" applyFont="1" applyFill="1" applyBorder="1" applyAlignment="1" applyProtection="1">
      <alignment horizontal="justify" vertical="center"/>
      <protection hidden="1"/>
    </xf>
    <xf numFmtId="2" fontId="128" fillId="42" borderId="26" xfId="57" applyNumberFormat="1" applyFont="1" applyFill="1" applyBorder="1" applyAlignment="1" applyProtection="1">
      <alignment horizontal="justify"/>
      <protection hidden="1"/>
    </xf>
    <xf numFmtId="9" fontId="128" fillId="42" borderId="26" xfId="57" applyFont="1" applyFill="1" applyBorder="1" applyAlignment="1" applyProtection="1">
      <alignment horizontal="justify"/>
      <protection hidden="1"/>
    </xf>
    <xf numFmtId="0" fontId="128" fillId="42" borderId="13" xfId="0" applyFont="1" applyFill="1" applyBorder="1" applyAlignment="1" applyProtection="1">
      <alignment/>
      <protection hidden="1"/>
    </xf>
    <xf numFmtId="0" fontId="128" fillId="42" borderId="17" xfId="0" applyFont="1" applyFill="1" applyBorder="1" applyAlignment="1" applyProtection="1">
      <alignment/>
      <protection hidden="1"/>
    </xf>
    <xf numFmtId="0" fontId="128" fillId="42" borderId="16" xfId="0" applyFont="1" applyFill="1" applyBorder="1" applyAlignment="1" applyProtection="1">
      <alignment/>
      <protection hidden="1"/>
    </xf>
    <xf numFmtId="0" fontId="155" fillId="47" borderId="0" xfId="0" applyFont="1" applyFill="1" applyBorder="1" applyAlignment="1" applyProtection="1">
      <alignment horizontal="justify" vertical="center" wrapText="1"/>
      <protection locked="0"/>
    </xf>
    <xf numFmtId="0" fontId="120" fillId="7" borderId="0" xfId="0" applyFont="1" applyFill="1" applyBorder="1" applyAlignment="1" applyProtection="1">
      <alignment horizontal="center"/>
      <protection/>
    </xf>
    <xf numFmtId="0" fontId="156" fillId="0" borderId="47" xfId="0" applyFont="1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128" fillId="42" borderId="14" xfId="0" applyFont="1" applyFill="1" applyBorder="1" applyAlignment="1" applyProtection="1">
      <alignment horizontal="justify"/>
      <protection hidden="1"/>
    </xf>
    <xf numFmtId="0" fontId="128" fillId="42" borderId="18" xfId="0" applyFont="1" applyFill="1" applyBorder="1" applyAlignment="1" applyProtection="1">
      <alignment horizontal="justify"/>
      <protection hidden="1"/>
    </xf>
    <xf numFmtId="0" fontId="128" fillId="42" borderId="19" xfId="0" applyFont="1" applyFill="1" applyBorder="1" applyAlignment="1" applyProtection="1">
      <alignment horizontal="justify"/>
      <protection hidden="1"/>
    </xf>
    <xf numFmtId="0" fontId="128" fillId="42" borderId="26" xfId="0" applyFont="1" applyFill="1" applyBorder="1" applyAlignment="1" applyProtection="1">
      <alignment horizontal="justify"/>
      <protection hidden="1"/>
    </xf>
    <xf numFmtId="0" fontId="128" fillId="42" borderId="0" xfId="0" applyFont="1" applyFill="1" applyBorder="1" applyAlignment="1" applyProtection="1">
      <alignment horizontal="justify"/>
      <protection hidden="1"/>
    </xf>
    <xf numFmtId="0" fontId="128" fillId="42" borderId="48" xfId="0" applyFont="1" applyFill="1" applyBorder="1" applyAlignment="1" applyProtection="1">
      <alignment horizontal="justify"/>
      <protection hidden="1"/>
    </xf>
    <xf numFmtId="0" fontId="128" fillId="42" borderId="23" xfId="0" applyFont="1" applyFill="1" applyBorder="1" applyAlignment="1" applyProtection="1">
      <alignment horizontal="justify"/>
      <protection hidden="1"/>
    </xf>
    <xf numFmtId="0" fontId="128" fillId="42" borderId="20" xfId="0" applyFont="1" applyFill="1" applyBorder="1" applyAlignment="1" applyProtection="1">
      <alignment horizontal="justify"/>
      <protection hidden="1"/>
    </xf>
    <xf numFmtId="0" fontId="128" fillId="42" borderId="27" xfId="0" applyFont="1" applyFill="1" applyBorder="1" applyAlignment="1" applyProtection="1">
      <alignment horizontal="justify"/>
      <protection hidden="1"/>
    </xf>
    <xf numFmtId="9" fontId="128" fillId="42" borderId="26" xfId="57" applyFont="1" applyFill="1" applyBorder="1" applyAlignment="1" applyProtection="1">
      <alignment vertical="center"/>
      <protection hidden="1"/>
    </xf>
    <xf numFmtId="0" fontId="156" fillId="0" borderId="47" xfId="0" applyFont="1" applyFill="1" applyBorder="1" applyAlignment="1" applyProtection="1">
      <alignment horizontal="center"/>
      <protection/>
    </xf>
    <xf numFmtId="0" fontId="131" fillId="33" borderId="21" xfId="0" applyFont="1" applyFill="1" applyBorder="1" applyAlignment="1" applyProtection="1">
      <alignment horizontal="center"/>
      <protection/>
    </xf>
    <xf numFmtId="0" fontId="131" fillId="33" borderId="24" xfId="0" applyFont="1" applyFill="1" applyBorder="1" applyAlignment="1" applyProtection="1">
      <alignment horizontal="center"/>
      <protection/>
    </xf>
    <xf numFmtId="0" fontId="131" fillId="33" borderId="13" xfId="0" applyFont="1" applyFill="1" applyBorder="1" applyAlignment="1" applyProtection="1">
      <alignment horizontal="center"/>
      <protection/>
    </xf>
    <xf numFmtId="0" fontId="131" fillId="33" borderId="16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131" fillId="33" borderId="12" xfId="0" applyFont="1" applyFill="1" applyBorder="1" applyAlignment="1" applyProtection="1">
      <alignment horizontal="left"/>
      <protection/>
    </xf>
    <xf numFmtId="0" fontId="131" fillId="33" borderId="10" xfId="0" applyFont="1" applyFill="1" applyBorder="1" applyAlignment="1" applyProtection="1">
      <alignment horizontal="center"/>
      <protection/>
    </xf>
    <xf numFmtId="0" fontId="131" fillId="33" borderId="10" xfId="0" applyFont="1" applyFill="1" applyBorder="1" applyAlignment="1" applyProtection="1">
      <alignment horizontal="left"/>
      <protection/>
    </xf>
    <xf numFmtId="0" fontId="131" fillId="33" borderId="12" xfId="0" applyFont="1" applyFill="1" applyBorder="1" applyAlignment="1" applyProtection="1">
      <alignment horizontal="center"/>
      <protection/>
    </xf>
    <xf numFmtId="0" fontId="10" fillId="44" borderId="12" xfId="0" applyFont="1" applyFill="1" applyBorder="1" applyAlignment="1" applyProtection="1">
      <alignment horizontal="center"/>
      <protection/>
    </xf>
    <xf numFmtId="170" fontId="5" fillId="33" borderId="21" xfId="0" applyNumberFormat="1" applyFont="1" applyFill="1" applyBorder="1" applyAlignment="1" applyProtection="1">
      <alignment horizontal="left" vertical="center" indent="5"/>
      <protection/>
    </xf>
    <xf numFmtId="170" fontId="5" fillId="33" borderId="22" xfId="0" applyNumberFormat="1" applyFont="1" applyFill="1" applyBorder="1" applyAlignment="1" applyProtection="1">
      <alignment horizontal="left" vertical="center" indent="5"/>
      <protection/>
    </xf>
    <xf numFmtId="170" fontId="5" fillId="33" borderId="12" xfId="0" applyNumberFormat="1" applyFont="1" applyFill="1" applyBorder="1" applyAlignment="1" applyProtection="1">
      <alignment horizontal="left" vertical="center" indent="5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left" indent="5"/>
      <protection/>
    </xf>
    <xf numFmtId="0" fontId="25" fillId="0" borderId="47" xfId="0" applyFont="1" applyFill="1" applyBorder="1" applyAlignment="1" applyProtection="1">
      <alignment horizontal="center"/>
      <protection/>
    </xf>
    <xf numFmtId="170" fontId="5" fillId="33" borderId="21" xfId="0" applyNumberFormat="1" applyFont="1" applyFill="1" applyBorder="1" applyAlignment="1" applyProtection="1">
      <alignment horizontal="center" vertical="center"/>
      <protection/>
    </xf>
    <xf numFmtId="170" fontId="5" fillId="33" borderId="22" xfId="0" applyNumberFormat="1" applyFont="1" applyFill="1" applyBorder="1" applyAlignment="1" applyProtection="1">
      <alignment horizontal="center" vertical="center"/>
      <protection/>
    </xf>
    <xf numFmtId="170" fontId="5" fillId="33" borderId="24" xfId="0" applyNumberFormat="1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/>
      <protection/>
    </xf>
    <xf numFmtId="0" fontId="37" fillId="33" borderId="17" xfId="0" applyFont="1" applyFill="1" applyBorder="1" applyAlignment="1" applyProtection="1">
      <alignment horizontal="center"/>
      <protection/>
    </xf>
    <xf numFmtId="0" fontId="37" fillId="33" borderId="16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170" fontId="5" fillId="33" borderId="23" xfId="54" applyNumberFormat="1" applyFont="1" applyFill="1" applyBorder="1" applyAlignment="1" applyProtection="1">
      <alignment horizontal="left" vertical="center"/>
      <protection/>
    </xf>
    <xf numFmtId="170" fontId="5" fillId="33" borderId="27" xfId="54" applyNumberFormat="1" applyFont="1" applyFill="1" applyBorder="1" applyAlignment="1" applyProtection="1">
      <alignment horizontal="left" vertical="center"/>
      <protection/>
    </xf>
    <xf numFmtId="170" fontId="5" fillId="33" borderId="13" xfId="54" applyNumberFormat="1" applyFont="1" applyFill="1" applyBorder="1" applyAlignment="1" applyProtection="1">
      <alignment horizontal="left" vertical="center"/>
      <protection/>
    </xf>
    <xf numFmtId="170" fontId="5" fillId="33" borderId="16" xfId="54" applyNumberFormat="1" applyFont="1" applyFill="1" applyBorder="1" applyAlignment="1" applyProtection="1">
      <alignment horizontal="left" vertical="center"/>
      <protection/>
    </xf>
    <xf numFmtId="170" fontId="5" fillId="33" borderId="12" xfId="54" applyNumberFormat="1" applyFont="1" applyFill="1" applyBorder="1" applyAlignment="1" applyProtection="1">
      <alignment horizontal="left" vertical="center"/>
      <protection/>
    </xf>
    <xf numFmtId="170" fontId="5" fillId="33" borderId="46" xfId="54" applyNumberFormat="1" applyFont="1" applyFill="1" applyBorder="1" applyAlignment="1" applyProtection="1">
      <alignment horizontal="left" vertical="center"/>
      <protection/>
    </xf>
    <xf numFmtId="0" fontId="5" fillId="33" borderId="13" xfId="54" applyFont="1" applyFill="1" applyBorder="1" applyAlignment="1" applyProtection="1">
      <alignment horizontal="center"/>
      <protection/>
    </xf>
    <xf numFmtId="0" fontId="5" fillId="33" borderId="16" xfId="54" applyFont="1" applyFill="1" applyBorder="1" applyAlignment="1" applyProtection="1">
      <alignment horizontal="center"/>
      <protection/>
    </xf>
    <xf numFmtId="170" fontId="5" fillId="33" borderId="13" xfId="54" applyNumberFormat="1" applyFont="1" applyFill="1" applyBorder="1" applyAlignment="1" applyProtection="1">
      <alignment horizontal="center" vertical="center"/>
      <protection/>
    </xf>
    <xf numFmtId="170" fontId="5" fillId="33" borderId="16" xfId="54" applyNumberFormat="1" applyFont="1" applyFill="1" applyBorder="1" applyAlignment="1" applyProtection="1">
      <alignment horizontal="center" vertical="center"/>
      <protection/>
    </xf>
    <xf numFmtId="0" fontId="129" fillId="33" borderId="10" xfId="54" applyFont="1" applyFill="1" applyBorder="1" applyAlignment="1" applyProtection="1">
      <alignment horizontal="center"/>
      <protection/>
    </xf>
    <xf numFmtId="0" fontId="5" fillId="33" borderId="49" xfId="54" applyFont="1" applyFill="1" applyBorder="1" applyAlignment="1" applyProtection="1">
      <alignment horizontal="center"/>
      <protection/>
    </xf>
    <xf numFmtId="0" fontId="5" fillId="33" borderId="50" xfId="54" applyFont="1" applyFill="1" applyBorder="1" applyAlignment="1" applyProtection="1">
      <alignment horizontal="center"/>
      <protection/>
    </xf>
    <xf numFmtId="0" fontId="5" fillId="33" borderId="51" xfId="54" applyFont="1" applyFill="1" applyBorder="1" applyAlignment="1" applyProtection="1">
      <alignment horizontal="center"/>
      <protection/>
    </xf>
    <xf numFmtId="1" fontId="5" fillId="42" borderId="13" xfId="57" applyNumberFormat="1" applyFont="1" applyFill="1" applyBorder="1" applyAlignment="1" applyProtection="1">
      <alignment horizontal="center"/>
      <protection locked="0"/>
    </xf>
    <xf numFmtId="0" fontId="0" fillId="42" borderId="16" xfId="0" applyFill="1" applyBorder="1" applyAlignment="1">
      <alignment horizontal="center"/>
    </xf>
    <xf numFmtId="170" fontId="23" fillId="0" borderId="0" xfId="54" applyNumberFormat="1" applyFont="1" applyFill="1" applyAlignment="1" applyProtection="1">
      <alignment wrapText="1"/>
      <protection/>
    </xf>
    <xf numFmtId="170" fontId="157" fillId="39" borderId="26" xfId="54" applyNumberFormat="1" applyFont="1" applyFill="1" applyBorder="1" applyAlignment="1" applyProtection="1">
      <alignment wrapText="1"/>
      <protection/>
    </xf>
    <xf numFmtId="170" fontId="157" fillId="39" borderId="0" xfId="54" applyNumberFormat="1" applyFont="1" applyFill="1" applyAlignment="1" applyProtection="1">
      <alignment wrapText="1"/>
      <protection/>
    </xf>
    <xf numFmtId="0" fontId="4" fillId="33" borderId="52" xfId="0" applyFont="1" applyFill="1" applyBorder="1" applyAlignment="1" applyProtection="1">
      <alignment horizontal="left"/>
      <protection/>
    </xf>
    <xf numFmtId="0" fontId="4" fillId="33" borderId="53" xfId="0" applyFont="1" applyFill="1" applyBorder="1" applyAlignment="1" applyProtection="1">
      <alignment horizontal="left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55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center" vertical="top" wrapText="1"/>
      <protection/>
    </xf>
    <xf numFmtId="0" fontId="5" fillId="33" borderId="55" xfId="0" applyFont="1" applyFill="1" applyBorder="1" applyAlignment="1" applyProtection="1">
      <alignment horizontal="center" vertical="top" wrapText="1"/>
      <protection/>
    </xf>
    <xf numFmtId="0" fontId="5" fillId="33" borderId="56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3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center" vertical="center"/>
      <protection/>
    </xf>
    <xf numFmtId="0" fontId="158" fillId="45" borderId="13" xfId="0" applyFont="1" applyFill="1" applyBorder="1" applyAlignment="1" applyProtection="1">
      <alignment horizontal="center" wrapText="1"/>
      <protection/>
    </xf>
    <xf numFmtId="0" fontId="158" fillId="45" borderId="16" xfId="0" applyFont="1" applyFill="1" applyBorder="1" applyAlignment="1" applyProtection="1">
      <alignment horizontal="center"/>
      <protection/>
    </xf>
    <xf numFmtId="0" fontId="129" fillId="43" borderId="59" xfId="0" applyFont="1" applyFill="1" applyBorder="1" applyAlignment="1" applyProtection="1">
      <alignment horizontal="justify"/>
      <protection/>
    </xf>
    <xf numFmtId="0" fontId="159" fillId="48" borderId="0" xfId="0" applyFont="1" applyFill="1" applyAlignment="1" applyProtection="1">
      <alignment horizontal="center" vertical="center" wrapText="1"/>
      <protection/>
    </xf>
    <xf numFmtId="0" fontId="158" fillId="45" borderId="13" xfId="0" applyFont="1" applyFill="1" applyBorder="1" applyAlignment="1" applyProtection="1">
      <alignment horizontal="center"/>
      <protection/>
    </xf>
    <xf numFmtId="0" fontId="128" fillId="37" borderId="0" xfId="0" applyFont="1" applyFill="1" applyBorder="1" applyAlignment="1" applyProtection="1">
      <alignment horizontal="justify"/>
      <protection/>
    </xf>
    <xf numFmtId="0" fontId="18" fillId="37" borderId="0" xfId="0" applyFont="1" applyFill="1" applyBorder="1" applyAlignment="1" applyProtection="1">
      <alignment horizontal="justify"/>
      <protection/>
    </xf>
    <xf numFmtId="0" fontId="129" fillId="39" borderId="0" xfId="0" applyFont="1" applyFill="1" applyAlignment="1">
      <alignment horizontal="justify" vertical="center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Book1" xfId="53"/>
    <cellStyle name="Normal_ModeloEconFinanceiro" xfId="54"/>
    <cellStyle name="Normal_ModeloInzym" xfId="55"/>
    <cellStyle name="Nota" xfId="56"/>
    <cellStyle name="Percent" xfId="57"/>
    <cellStyle name="Percentagem_ModeloInzym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2</xdr:row>
      <xdr:rowOff>180975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2</xdr:row>
      <xdr:rowOff>180975</xdr:rowOff>
    </xdr:to>
    <xdr:pic>
      <xdr:nvPicPr>
        <xdr:cNvPr id="2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31</xdr:row>
      <xdr:rowOff>57150</xdr:rowOff>
    </xdr:from>
    <xdr:to>
      <xdr:col>0</xdr:col>
      <xdr:colOff>1504950</xdr:colOff>
      <xdr:row>33</xdr:row>
      <xdr:rowOff>57150</xdr:rowOff>
    </xdr:to>
    <xdr:sp macro="[0]!Macro1">
      <xdr:nvSpPr>
        <xdr:cNvPr id="2" name="AutoShape 3"/>
        <xdr:cNvSpPr>
          <a:spLocks/>
        </xdr:cNvSpPr>
      </xdr:nvSpPr>
      <xdr:spPr>
        <a:xfrm>
          <a:off x="276225" y="5133975"/>
          <a:ext cx="122872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48</xdr:row>
      <xdr:rowOff>142875</xdr:rowOff>
    </xdr:from>
    <xdr:to>
      <xdr:col>9</xdr:col>
      <xdr:colOff>285750</xdr:colOff>
      <xdr:row>59</xdr:row>
      <xdr:rowOff>133350</xdr:rowOff>
    </xdr:to>
    <xdr:sp>
      <xdr:nvSpPr>
        <xdr:cNvPr id="2" name="Conexão recta unidireccional 3"/>
        <xdr:cNvSpPr>
          <a:spLocks/>
        </xdr:cNvSpPr>
      </xdr:nvSpPr>
      <xdr:spPr>
        <a:xfrm flipH="1">
          <a:off x="9277350" y="8134350"/>
          <a:ext cx="19050" cy="178117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57</xdr:row>
      <xdr:rowOff>85725</xdr:rowOff>
    </xdr:from>
    <xdr:to>
      <xdr:col>10</xdr:col>
      <xdr:colOff>0</xdr:colOff>
      <xdr:row>57</xdr:row>
      <xdr:rowOff>85725</xdr:rowOff>
    </xdr:to>
    <xdr:sp>
      <xdr:nvSpPr>
        <xdr:cNvPr id="3" name="Conexão recta unidireccional 11"/>
        <xdr:cNvSpPr>
          <a:spLocks/>
        </xdr:cNvSpPr>
      </xdr:nvSpPr>
      <xdr:spPr>
        <a:xfrm>
          <a:off x="9372600" y="9534525"/>
          <a:ext cx="3048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59</xdr:row>
      <xdr:rowOff>95250</xdr:rowOff>
    </xdr:from>
    <xdr:to>
      <xdr:col>10</xdr:col>
      <xdr:colOff>0</xdr:colOff>
      <xdr:row>59</xdr:row>
      <xdr:rowOff>95250</xdr:rowOff>
    </xdr:to>
    <xdr:sp>
      <xdr:nvSpPr>
        <xdr:cNvPr id="4" name="Conexão recta unidireccional 12"/>
        <xdr:cNvSpPr>
          <a:spLocks/>
        </xdr:cNvSpPr>
      </xdr:nvSpPr>
      <xdr:spPr>
        <a:xfrm>
          <a:off x="9372600" y="9877425"/>
          <a:ext cx="3048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219075</xdr:colOff>
      <xdr:row>30</xdr:row>
      <xdr:rowOff>9525</xdr:rowOff>
    </xdr:from>
    <xdr:to>
      <xdr:col>9</xdr:col>
      <xdr:colOff>219075</xdr:colOff>
      <xdr:row>39</xdr:row>
      <xdr:rowOff>47625</xdr:rowOff>
    </xdr:to>
    <xdr:sp>
      <xdr:nvSpPr>
        <xdr:cNvPr id="5" name="Conexão recta unidireccional 13"/>
        <xdr:cNvSpPr>
          <a:spLocks/>
        </xdr:cNvSpPr>
      </xdr:nvSpPr>
      <xdr:spPr>
        <a:xfrm flipH="1">
          <a:off x="9229725" y="5067300"/>
          <a:ext cx="0" cy="15049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36</xdr:row>
      <xdr:rowOff>114300</xdr:rowOff>
    </xdr:from>
    <xdr:to>
      <xdr:col>9</xdr:col>
      <xdr:colOff>552450</xdr:colOff>
      <xdr:row>36</xdr:row>
      <xdr:rowOff>114300</xdr:rowOff>
    </xdr:to>
    <xdr:sp>
      <xdr:nvSpPr>
        <xdr:cNvPr id="6" name="Conexão recta unidireccional 16"/>
        <xdr:cNvSpPr>
          <a:spLocks/>
        </xdr:cNvSpPr>
      </xdr:nvSpPr>
      <xdr:spPr>
        <a:xfrm>
          <a:off x="9334500" y="6143625"/>
          <a:ext cx="2286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38</xdr:row>
      <xdr:rowOff>104775</xdr:rowOff>
    </xdr:from>
    <xdr:to>
      <xdr:col>10</xdr:col>
      <xdr:colOff>0</xdr:colOff>
      <xdr:row>38</xdr:row>
      <xdr:rowOff>104775</xdr:rowOff>
    </xdr:to>
    <xdr:sp>
      <xdr:nvSpPr>
        <xdr:cNvPr id="7" name="Conexão recta unidireccional 17"/>
        <xdr:cNvSpPr>
          <a:spLocks/>
        </xdr:cNvSpPr>
      </xdr:nvSpPr>
      <xdr:spPr>
        <a:xfrm>
          <a:off x="9372600" y="6467475"/>
          <a:ext cx="3048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295275</xdr:colOff>
      <xdr:row>17</xdr:row>
      <xdr:rowOff>114300</xdr:rowOff>
    </xdr:from>
    <xdr:to>
      <xdr:col>9</xdr:col>
      <xdr:colOff>514350</xdr:colOff>
      <xdr:row>17</xdr:row>
      <xdr:rowOff>114300</xdr:rowOff>
    </xdr:to>
    <xdr:sp>
      <xdr:nvSpPr>
        <xdr:cNvPr id="8" name="Conexão recta unidireccional 8"/>
        <xdr:cNvSpPr>
          <a:spLocks/>
        </xdr:cNvSpPr>
      </xdr:nvSpPr>
      <xdr:spPr>
        <a:xfrm>
          <a:off x="9305925" y="291465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104775</xdr:rowOff>
    </xdr:from>
    <xdr:to>
      <xdr:col>9</xdr:col>
      <xdr:colOff>504825</xdr:colOff>
      <xdr:row>19</xdr:row>
      <xdr:rowOff>104775</xdr:rowOff>
    </xdr:to>
    <xdr:sp>
      <xdr:nvSpPr>
        <xdr:cNvPr id="9" name="Conexão recta unidireccional 9"/>
        <xdr:cNvSpPr>
          <a:spLocks/>
        </xdr:cNvSpPr>
      </xdr:nvSpPr>
      <xdr:spPr>
        <a:xfrm>
          <a:off x="9334500" y="3238500"/>
          <a:ext cx="1809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219075</xdr:colOff>
      <xdr:row>10</xdr:row>
      <xdr:rowOff>9525</xdr:rowOff>
    </xdr:from>
    <xdr:to>
      <xdr:col>9</xdr:col>
      <xdr:colOff>219075</xdr:colOff>
      <xdr:row>20</xdr:row>
      <xdr:rowOff>0</xdr:rowOff>
    </xdr:to>
    <xdr:sp>
      <xdr:nvSpPr>
        <xdr:cNvPr id="10" name="Conexão recta unidireccional 10"/>
        <xdr:cNvSpPr>
          <a:spLocks/>
        </xdr:cNvSpPr>
      </xdr:nvSpPr>
      <xdr:spPr>
        <a:xfrm>
          <a:off x="9229725" y="1676400"/>
          <a:ext cx="0" cy="16192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19</xdr:row>
      <xdr:rowOff>76200</xdr:rowOff>
    </xdr:from>
    <xdr:to>
      <xdr:col>10</xdr:col>
      <xdr:colOff>0</xdr:colOff>
      <xdr:row>19</xdr:row>
      <xdr:rowOff>76200</xdr:rowOff>
    </xdr:to>
    <xdr:sp>
      <xdr:nvSpPr>
        <xdr:cNvPr id="11" name="Conexão recta unidireccional 12"/>
        <xdr:cNvSpPr>
          <a:spLocks/>
        </xdr:cNvSpPr>
      </xdr:nvSpPr>
      <xdr:spPr>
        <a:xfrm>
          <a:off x="9372600" y="3209925"/>
          <a:ext cx="3048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rco\AppData\Local\Microsoft\Windows\Temporary%20Internet%20Files\Content.Outlook\DKEBK8J1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rco\AppData\Local\Microsoft\Windows\Temporary%20Internet%20Files\Content.Outlook\DKEBK8J1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rco\AppData\Local\Microsoft\Windows\Temporary%20Internet%20Files\Content.Outlook\DKEBK8J1\Users\mmiraldes\Download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8"/>
  <dimension ref="B1:B5"/>
  <sheetViews>
    <sheetView zoomScale="90" zoomScaleNormal="90" zoomScalePageLayoutView="0" workbookViewId="0" topLeftCell="B1">
      <selection activeCell="B5" sqref="B5"/>
    </sheetView>
  </sheetViews>
  <sheetFormatPr defaultColWidth="9.140625" defaultRowHeight="12.75"/>
  <cols>
    <col min="1" max="1" width="3.7109375" style="12" customWidth="1"/>
    <col min="2" max="2" width="112.00390625" style="0" customWidth="1"/>
    <col min="3" max="73" width="3.7109375" style="12" customWidth="1"/>
  </cols>
  <sheetData>
    <row r="1" ht="196.5" customHeight="1">
      <c r="B1" s="425" t="s">
        <v>216</v>
      </c>
    </row>
    <row r="2" ht="42" customHeight="1">
      <c r="B2" s="426" t="s">
        <v>217</v>
      </c>
    </row>
    <row r="3" ht="252.75" customHeight="1">
      <c r="B3" s="423" t="s">
        <v>444</v>
      </c>
    </row>
    <row r="4" ht="24.75" customHeight="1">
      <c r="B4" s="424" t="s">
        <v>445</v>
      </c>
    </row>
    <row r="5" ht="35.25" customHeight="1">
      <c r="B5" s="559" t="s">
        <v>483</v>
      </c>
    </row>
    <row r="6" s="12" customFormat="1" ht="409.5" customHeight="1"/>
    <row r="7" s="12" customFormat="1" ht="409.5" customHeight="1"/>
    <row r="8" s="12" customFormat="1" ht="409.5" customHeight="1"/>
    <row r="9" s="12" customFormat="1" ht="409.5" customHeight="1"/>
    <row r="10" s="12" customFormat="1" ht="409.5" customHeight="1"/>
    <row r="11" s="12" customFormat="1" ht="409.5" customHeight="1"/>
    <row r="12" s="12" customFormat="1" ht="409.5" customHeight="1"/>
    <row r="13" s="12" customFormat="1" ht="409.5" customHeight="1"/>
    <row r="14" s="12" customFormat="1" ht="409.5" customHeight="1"/>
    <row r="15" s="12" customFormat="1" ht="409.5" customHeight="1"/>
    <row r="16" s="12" customFormat="1" ht="409.5" customHeight="1"/>
    <row r="17" s="12" customFormat="1" ht="409.5" customHeight="1"/>
    <row r="18" s="12" customFormat="1" ht="409.5" customHeight="1"/>
    <row r="19" s="12" customFormat="1" ht="409.5" customHeight="1"/>
    <row r="20" s="12" customFormat="1" ht="409.5" customHeight="1"/>
    <row r="21" s="12" customFormat="1" ht="409.5" customHeight="1"/>
    <row r="22" s="12" customFormat="1" ht="409.5" customHeight="1"/>
    <row r="23" s="12" customFormat="1" ht="409.5" customHeight="1"/>
    <row r="24" s="12" customFormat="1" ht="409.5" customHeight="1"/>
    <row r="25" s="12" customFormat="1" ht="409.5" customHeight="1"/>
    <row r="26" s="12" customFormat="1" ht="409.5" customHeight="1"/>
    <row r="27" s="12" customFormat="1" ht="409.5" customHeight="1"/>
    <row r="28" s="12" customFormat="1" ht="409.5" customHeight="1"/>
    <row r="29" s="12" customFormat="1" ht="409.5" customHeight="1"/>
    <row r="30" s="12" customFormat="1" ht="409.5" customHeight="1"/>
    <row r="31" s="12" customFormat="1" ht="409.5" customHeight="1"/>
    <row r="32" s="12" customFormat="1" ht="409.5" customHeight="1"/>
    <row r="33" s="12" customFormat="1" ht="409.5" customHeight="1"/>
    <row r="34" s="12" customFormat="1" ht="409.5" customHeight="1"/>
    <row r="35" s="12" customFormat="1" ht="409.5" customHeight="1"/>
    <row r="36" s="12" customFormat="1" ht="409.5" customHeight="1"/>
    <row r="37" s="12" customFormat="1" ht="409.5" customHeight="1"/>
    <row r="38" s="12" customFormat="1" ht="409.5" customHeight="1"/>
    <row r="39" s="12" customFormat="1" ht="409.5" customHeight="1"/>
    <row r="40" s="12" customFormat="1" ht="409.5" customHeight="1"/>
    <row r="41" s="12" customFormat="1" ht="409.5" customHeight="1"/>
    <row r="42" s="12" customFormat="1" ht="409.5" customHeight="1"/>
    <row r="43" s="12" customFormat="1" ht="409.5" customHeight="1"/>
    <row r="44" s="12" customFormat="1" ht="409.5" customHeight="1"/>
    <row r="45" s="12" customFormat="1" ht="409.5" customHeight="1"/>
    <row r="46" s="12" customFormat="1" ht="409.5" customHeight="1"/>
    <row r="47" s="12" customFormat="1" ht="409.5" customHeight="1"/>
    <row r="48" s="12" customFormat="1" ht="409.5" customHeight="1"/>
    <row r="49" s="12" customFormat="1" ht="409.5" customHeight="1"/>
    <row r="50" s="12" customFormat="1" ht="409.5" customHeight="1"/>
    <row r="51" s="12" customFormat="1" ht="409.5" customHeight="1"/>
    <row r="52" s="12" customFormat="1" ht="409.5" customHeight="1"/>
    <row r="53" s="12" customFormat="1" ht="409.5" customHeight="1"/>
    <row r="54" s="12" customFormat="1" ht="409.5" customHeight="1"/>
    <row r="55" s="12" customFormat="1" ht="409.5" customHeight="1"/>
    <row r="56" s="12" customFormat="1" ht="409.5" customHeight="1"/>
    <row r="57" s="12" customFormat="1" ht="409.5" customHeight="1"/>
    <row r="58" s="12" customFormat="1" ht="409.5" customHeight="1"/>
    <row r="59" s="12" customFormat="1" ht="409.5" customHeight="1"/>
    <row r="60" s="12" customFormat="1" ht="409.5" customHeight="1"/>
    <row r="61" s="12" customFormat="1" ht="409.5" customHeight="1"/>
    <row r="62" s="12" customFormat="1" ht="409.5" customHeight="1"/>
    <row r="63" s="12" customFormat="1" ht="409.5" customHeight="1"/>
    <row r="64" s="12" customFormat="1" ht="409.5" customHeight="1"/>
    <row r="65" s="12" customFormat="1" ht="409.5" customHeight="1"/>
    <row r="66" s="12" customFormat="1" ht="409.5" customHeight="1"/>
    <row r="67" s="12" customFormat="1" ht="409.5" customHeight="1"/>
    <row r="68" s="12" customFormat="1" ht="409.5" customHeight="1"/>
    <row r="69" s="12" customFormat="1" ht="409.5" customHeight="1"/>
    <row r="70" s="12" customFormat="1" ht="409.5" customHeight="1"/>
    <row r="71" s="12" customFormat="1" ht="409.5" customHeight="1"/>
    <row r="72" s="12" customFormat="1" ht="409.5" customHeight="1"/>
    <row r="73" s="12" customFormat="1" ht="409.5" customHeight="1"/>
    <row r="74" s="12" customFormat="1" ht="409.5" customHeight="1"/>
    <row r="75" s="12" customFormat="1" ht="409.5" customHeight="1"/>
    <row r="76" s="12" customFormat="1" ht="409.5" customHeight="1"/>
    <row r="77" s="12" customFormat="1" ht="409.5" customHeight="1"/>
    <row r="78" s="12" customFormat="1" ht="409.5" customHeight="1"/>
    <row r="79" s="12" customFormat="1" ht="409.5" customHeight="1"/>
    <row r="80" s="12" customFormat="1" ht="409.5" customHeight="1"/>
    <row r="81" s="12" customFormat="1" ht="409.5" customHeight="1"/>
    <row r="82" s="12" customFormat="1" ht="409.5" customHeight="1"/>
    <row r="83" s="12" customFormat="1" ht="409.5" customHeight="1"/>
    <row r="84" s="12" customFormat="1" ht="409.5" customHeight="1"/>
    <row r="85" s="12" customFormat="1" ht="409.5" customHeight="1"/>
    <row r="86" s="12" customFormat="1" ht="409.5" customHeight="1"/>
    <row r="87" s="12" customFormat="1" ht="409.5" customHeight="1"/>
    <row r="88" s="12" customFormat="1" ht="409.5" customHeight="1"/>
    <row r="89" s="12" customFormat="1" ht="409.5" customHeight="1"/>
    <row r="90" s="12" customFormat="1" ht="409.5" customHeight="1"/>
    <row r="91" s="12" customFormat="1" ht="409.5" customHeight="1"/>
    <row r="92" s="12" customFormat="1" ht="409.5" customHeight="1"/>
    <row r="93" s="12" customFormat="1" ht="409.5" customHeight="1"/>
    <row r="94" s="12" customFormat="1" ht="409.5" customHeight="1"/>
    <row r="95" s="12" customFormat="1" ht="409.5" customHeight="1"/>
    <row r="96" s="12" customFormat="1" ht="409.5" customHeight="1"/>
    <row r="97" s="12" customFormat="1" ht="409.5" customHeight="1"/>
    <row r="98" s="12" customFormat="1" ht="409.5" customHeight="1"/>
    <row r="99" s="12" customFormat="1" ht="409.5" customHeight="1"/>
    <row r="100" s="12" customFormat="1" ht="409.5" customHeight="1"/>
    <row r="101" s="12" customFormat="1" ht="409.5" customHeight="1"/>
    <row r="102" s="12" customFormat="1" ht="409.5" customHeight="1"/>
    <row r="103" s="12" customFormat="1" ht="409.5" customHeight="1"/>
    <row r="104" s="12" customFormat="1" ht="409.5" customHeight="1"/>
    <row r="105" s="12" customFormat="1" ht="409.5" customHeight="1"/>
    <row r="106" s="12" customFormat="1" ht="409.5" customHeight="1"/>
    <row r="107" s="12" customFormat="1" ht="409.5" customHeight="1"/>
    <row r="108" s="12" customFormat="1" ht="409.5" customHeight="1"/>
    <row r="109" s="12" customFormat="1" ht="409.5" customHeight="1"/>
    <row r="110" s="12" customFormat="1" ht="409.5" customHeight="1"/>
    <row r="111" s="12" customFormat="1" ht="409.5" customHeight="1"/>
    <row r="112" s="12" customFormat="1" ht="409.5" customHeight="1"/>
    <row r="113" s="12" customFormat="1" ht="409.5" customHeight="1"/>
    <row r="114" s="12" customFormat="1" ht="409.5" customHeight="1"/>
    <row r="115" s="12" customFormat="1" ht="409.5" customHeight="1"/>
    <row r="116" s="12" customFormat="1" ht="409.5" customHeight="1"/>
    <row r="117" s="12" customFormat="1" ht="409.5" customHeight="1"/>
    <row r="118" s="12" customFormat="1" ht="409.5" customHeight="1"/>
    <row r="119" s="12" customFormat="1" ht="409.5" customHeight="1"/>
    <row r="120" s="12" customFormat="1" ht="409.5" customHeight="1"/>
    <row r="121" s="12" customFormat="1" ht="409.5" customHeight="1"/>
    <row r="122" s="12" customFormat="1" ht="409.5" customHeight="1"/>
    <row r="123" s="12" customFormat="1" ht="409.5" customHeight="1"/>
    <row r="124" s="12" customFormat="1" ht="409.5" customHeight="1"/>
    <row r="125" s="12" customFormat="1" ht="409.5" customHeight="1"/>
    <row r="126" s="12" customFormat="1" ht="409.5" customHeight="1"/>
    <row r="127" s="12" customFormat="1" ht="409.5" customHeight="1"/>
    <row r="128" s="12" customFormat="1" ht="409.5" customHeight="1"/>
    <row r="129" s="12" customFormat="1" ht="409.5" customHeight="1"/>
    <row r="130" s="12" customFormat="1" ht="409.5" customHeight="1"/>
    <row r="131" s="12" customFormat="1" ht="409.5" customHeight="1"/>
    <row r="132" s="12" customFormat="1" ht="409.5" customHeight="1"/>
    <row r="133" s="12" customFormat="1" ht="409.5" customHeight="1"/>
    <row r="134" s="12" customFormat="1" ht="409.5" customHeight="1"/>
    <row r="135" s="12" customFormat="1" ht="409.5" customHeight="1"/>
    <row r="136" s="12" customFormat="1" ht="409.5" customHeight="1"/>
    <row r="137" s="12" customFormat="1" ht="409.5" customHeight="1"/>
    <row r="138" s="12" customFormat="1" ht="409.5" customHeight="1"/>
    <row r="139" s="12" customFormat="1" ht="409.5" customHeight="1"/>
    <row r="140" s="12" customFormat="1" ht="409.5" customHeight="1"/>
    <row r="141" s="12" customFormat="1" ht="409.5" customHeight="1"/>
    <row r="142" s="12" customFormat="1" ht="409.5" customHeight="1"/>
    <row r="143" s="12" customFormat="1" ht="409.5" customHeight="1"/>
    <row r="144" s="12" customFormat="1" ht="409.5" customHeight="1"/>
    <row r="145" s="12" customFormat="1" ht="409.5" customHeight="1"/>
    <row r="146" s="12" customFormat="1" ht="409.5" customHeight="1"/>
    <row r="147" s="12" customFormat="1" ht="409.5" customHeight="1"/>
    <row r="148" s="12" customFormat="1" ht="409.5" customHeight="1"/>
    <row r="149" s="12" customFormat="1" ht="409.5" customHeight="1"/>
    <row r="150" s="12" customFormat="1" ht="409.5" customHeight="1"/>
    <row r="151" s="12" customFormat="1" ht="409.5" customHeight="1"/>
    <row r="152" s="12" customFormat="1" ht="409.5" customHeight="1"/>
    <row r="153" s="12" customFormat="1" ht="409.5" customHeight="1"/>
    <row r="154" s="12" customFormat="1" ht="409.5" customHeight="1"/>
    <row r="155" s="12" customFormat="1" ht="409.5" customHeight="1"/>
    <row r="156" s="12" customFormat="1" ht="409.5" customHeight="1"/>
    <row r="157" s="12" customFormat="1" ht="409.5" customHeight="1"/>
    <row r="158" s="12" customFormat="1" ht="409.5" customHeight="1"/>
    <row r="159" s="12" customFormat="1" ht="409.5" customHeight="1"/>
    <row r="160" s="12" customFormat="1" ht="409.5" customHeight="1"/>
    <row r="161" s="12" customFormat="1" ht="409.5" customHeight="1"/>
    <row r="162" s="12" customFormat="1" ht="409.5" customHeight="1"/>
    <row r="163" s="12" customFormat="1" ht="409.5" customHeight="1"/>
    <row r="164" s="12" customFormat="1" ht="409.5" customHeight="1"/>
    <row r="165" s="12" customFormat="1" ht="409.5" customHeight="1"/>
    <row r="166" s="12" customFormat="1" ht="409.5" customHeight="1"/>
    <row r="167" s="12" customFormat="1" ht="409.5" customHeight="1"/>
    <row r="168" s="12" customFormat="1" ht="409.5" customHeight="1"/>
    <row r="169" s="12" customFormat="1" ht="409.5" customHeight="1"/>
    <row r="170" s="12" customFormat="1" ht="409.5" customHeight="1"/>
    <row r="171" s="12" customFormat="1" ht="409.5" customHeight="1"/>
    <row r="172" s="12" customFormat="1" ht="409.5" customHeight="1"/>
    <row r="173" s="12" customFormat="1" ht="409.5" customHeight="1"/>
    <row r="174" s="12" customFormat="1" ht="409.5" customHeight="1"/>
    <row r="175" s="12" customFormat="1" ht="409.5" customHeight="1"/>
    <row r="176" s="12" customFormat="1" ht="409.5" customHeight="1"/>
    <row r="177" s="12" customFormat="1" ht="409.5" customHeight="1"/>
    <row r="178" s="12" customFormat="1" ht="409.5" customHeight="1"/>
    <row r="179" s="12" customFormat="1" ht="409.5" customHeight="1"/>
    <row r="180" s="12" customFormat="1" ht="409.5" customHeight="1"/>
    <row r="181" s="12" customFormat="1" ht="409.5" customHeight="1"/>
    <row r="182" s="12" customFormat="1" ht="409.5" customHeight="1"/>
    <row r="183" s="12" customFormat="1" ht="409.5" customHeight="1"/>
    <row r="184" s="12" customFormat="1" ht="409.5" customHeight="1"/>
    <row r="185" s="12" customFormat="1" ht="409.5" customHeight="1"/>
    <row r="186" s="12" customFormat="1" ht="409.5" customHeight="1"/>
    <row r="187" s="12" customFormat="1" ht="409.5" customHeight="1"/>
    <row r="188" s="12" customFormat="1" ht="409.5" customHeight="1"/>
    <row r="189" s="12" customFormat="1" ht="409.5" customHeight="1"/>
    <row r="190" s="12" customFormat="1" ht="409.5" customHeight="1"/>
    <row r="191" s="12" customFormat="1" ht="409.5" customHeight="1"/>
    <row r="192" s="12" customFormat="1" ht="409.5" customHeight="1"/>
    <row r="193" s="12" customFormat="1" ht="409.5" customHeight="1"/>
    <row r="194" s="12" customFormat="1" ht="409.5" customHeight="1"/>
    <row r="195" s="12" customFormat="1" ht="409.5" customHeight="1"/>
    <row r="196" s="12" customFormat="1" ht="409.5" customHeight="1"/>
    <row r="197" s="12" customFormat="1" ht="409.5" customHeight="1"/>
    <row r="198" s="12" customFormat="1" ht="409.5" customHeight="1"/>
    <row r="199" s="12" customFormat="1" ht="409.5" customHeight="1"/>
    <row r="200" s="12" customFormat="1" ht="409.5" customHeight="1"/>
    <row r="201" s="12" customFormat="1" ht="409.5" customHeight="1"/>
    <row r="202" s="12" customFormat="1" ht="409.5" customHeight="1"/>
    <row r="203" s="12" customFormat="1" ht="409.5" customHeight="1"/>
    <row r="204" s="12" customFormat="1" ht="409.5" customHeight="1"/>
    <row r="205" s="12" customFormat="1" ht="409.5" customHeight="1"/>
    <row r="206" s="12" customFormat="1" ht="409.5" customHeight="1"/>
    <row r="207" s="12" customFormat="1" ht="409.5" customHeight="1"/>
    <row r="208" s="12" customFormat="1" ht="409.5" customHeight="1"/>
    <row r="209" s="12" customFormat="1" ht="409.5" customHeight="1"/>
    <row r="210" s="12" customFormat="1" ht="409.5" customHeight="1"/>
    <row r="211" s="12" customFormat="1" ht="409.5" customHeight="1"/>
    <row r="212" s="12" customFormat="1" ht="409.5" customHeight="1"/>
    <row r="213" s="12" customFormat="1" ht="409.5" customHeight="1"/>
    <row r="214" s="12" customFormat="1" ht="409.5" customHeight="1"/>
    <row r="215" s="12" customFormat="1" ht="409.5" customHeight="1"/>
    <row r="216" s="12" customFormat="1" ht="409.5" customHeight="1"/>
    <row r="217" s="12" customFormat="1" ht="409.5" customHeight="1"/>
    <row r="218" s="12" customFormat="1" ht="409.5" customHeight="1"/>
    <row r="219" s="12" customFormat="1" ht="409.5" customHeight="1"/>
    <row r="220" s="12" customFormat="1" ht="409.5" customHeight="1"/>
    <row r="221" s="12" customFormat="1" ht="409.5" customHeight="1"/>
    <row r="222" s="12" customFormat="1" ht="409.5" customHeight="1"/>
    <row r="223" s="12" customFormat="1" ht="409.5" customHeight="1"/>
    <row r="224" s="12" customFormat="1" ht="409.5" customHeight="1"/>
    <row r="225" s="12" customFormat="1" ht="409.5" customHeight="1"/>
    <row r="226" s="12" customFormat="1" ht="409.5" customHeight="1"/>
    <row r="227" s="12" customFormat="1" ht="409.5" customHeight="1"/>
    <row r="228" s="12" customFormat="1" ht="409.5" customHeight="1"/>
    <row r="229" s="12" customFormat="1" ht="409.5" customHeight="1"/>
    <row r="230" s="12" customFormat="1" ht="409.5" customHeight="1"/>
    <row r="231" s="12" customFormat="1" ht="409.5" customHeight="1"/>
    <row r="232" s="12" customFormat="1" ht="409.5" customHeight="1"/>
    <row r="233" s="12" customFormat="1" ht="409.5" customHeight="1"/>
    <row r="234" s="12" customFormat="1" ht="409.5" customHeight="1"/>
    <row r="235" s="12" customFormat="1" ht="409.5" customHeight="1"/>
    <row r="236" s="12" customFormat="1" ht="409.5" customHeight="1"/>
    <row r="237" s="12" customFormat="1" ht="409.5" customHeight="1"/>
    <row r="238" s="12" customFormat="1" ht="409.5" customHeight="1"/>
    <row r="239" s="12" customFormat="1" ht="409.5" customHeight="1"/>
    <row r="240" s="12" customFormat="1" ht="409.5" customHeight="1"/>
    <row r="241" s="12" customFormat="1" ht="409.5" customHeight="1"/>
    <row r="242" s="12" customFormat="1" ht="409.5" customHeight="1"/>
    <row r="243" s="12" customFormat="1" ht="409.5" customHeight="1"/>
    <row r="244" s="12" customFormat="1" ht="409.5" customHeight="1"/>
    <row r="245" s="12" customFormat="1" ht="409.5" customHeight="1"/>
    <row r="246" s="12" customFormat="1" ht="409.5" customHeight="1"/>
    <row r="247" s="12" customFormat="1" ht="409.5" customHeight="1"/>
    <row r="248" s="12" customFormat="1" ht="409.5" customHeight="1"/>
    <row r="249" s="12" customFormat="1" ht="409.5" customHeight="1"/>
    <row r="250" s="12" customFormat="1" ht="409.5" customHeight="1"/>
    <row r="251" s="12" customFormat="1" ht="409.5" customHeight="1"/>
    <row r="252" s="12" customFormat="1" ht="409.5" customHeight="1"/>
    <row r="253" s="12" customFormat="1" ht="409.5" customHeight="1"/>
    <row r="254" s="12" customFormat="1" ht="409.5" customHeight="1"/>
    <row r="255" s="12" customFormat="1" ht="409.5" customHeight="1"/>
    <row r="256" s="12" customFormat="1" ht="409.5" customHeight="1"/>
    <row r="257" s="12" customFormat="1" ht="409.5" customHeight="1"/>
    <row r="258" s="12" customFormat="1" ht="409.5" customHeight="1"/>
    <row r="259" s="12" customFormat="1" ht="409.5" customHeight="1"/>
    <row r="260" s="12" customFormat="1" ht="409.5" customHeight="1"/>
    <row r="261" s="12" customFormat="1" ht="409.5" customHeight="1"/>
    <row r="262" s="12" customFormat="1" ht="409.5" customHeight="1"/>
    <row r="263" s="12" customFormat="1" ht="409.5" customHeight="1"/>
    <row r="264" s="12" customFormat="1" ht="409.5" customHeight="1"/>
    <row r="265" s="12" customFormat="1" ht="409.5" customHeight="1"/>
    <row r="266" s="12" customFormat="1" ht="409.5" customHeight="1"/>
    <row r="267" s="12" customFormat="1" ht="409.5" customHeight="1"/>
    <row r="268" s="12" customFormat="1" ht="409.5" customHeight="1"/>
    <row r="269" s="12" customFormat="1" ht="409.5" customHeight="1"/>
    <row r="270" s="12" customFormat="1" ht="409.5" customHeight="1"/>
    <row r="271" s="12" customFormat="1" ht="409.5" customHeight="1"/>
    <row r="272" s="12" customFormat="1" ht="409.5" customHeight="1"/>
    <row r="273" s="12" customFormat="1" ht="409.5" customHeight="1"/>
    <row r="274" s="12" customFormat="1" ht="409.5" customHeight="1"/>
    <row r="275" s="12" customFormat="1" ht="409.5" customHeight="1"/>
    <row r="276" s="12" customFormat="1" ht="409.5" customHeight="1"/>
    <row r="277" s="12" customFormat="1" ht="409.5" customHeight="1"/>
    <row r="278" s="12" customFormat="1" ht="409.5" customHeight="1"/>
    <row r="279" s="12" customFormat="1" ht="409.5" customHeight="1"/>
    <row r="280" s="12" customFormat="1" ht="409.5" customHeight="1"/>
    <row r="281" s="12" customFormat="1" ht="409.5" customHeight="1"/>
    <row r="282" s="12" customFormat="1" ht="409.5" customHeight="1"/>
    <row r="283" s="12" customFormat="1" ht="409.5" customHeight="1"/>
    <row r="284" s="12" customFormat="1" ht="409.5" customHeight="1"/>
    <row r="285" s="12" customFormat="1" ht="409.5" customHeight="1"/>
    <row r="286" s="12" customFormat="1" ht="409.5" customHeight="1"/>
    <row r="287" s="12" customFormat="1" ht="409.5" customHeight="1"/>
    <row r="288" s="12" customFormat="1" ht="409.5" customHeight="1"/>
    <row r="289" s="12" customFormat="1" ht="409.5" customHeight="1"/>
    <row r="290" s="12" customFormat="1" ht="409.5" customHeight="1"/>
    <row r="291" s="12" customFormat="1" ht="409.5" customHeight="1"/>
    <row r="292" s="12" customFormat="1" ht="409.5" customHeight="1"/>
    <row r="293" s="12" customFormat="1" ht="409.5" customHeight="1"/>
    <row r="294" s="12" customFormat="1" ht="409.5" customHeight="1"/>
    <row r="295" s="12" customFormat="1" ht="409.5" customHeight="1"/>
    <row r="296" s="12" customFormat="1" ht="409.5" customHeight="1"/>
    <row r="297" s="12" customFormat="1" ht="409.5" customHeight="1"/>
    <row r="298" s="12" customFormat="1" ht="409.5" customHeight="1"/>
    <row r="299" s="12" customFormat="1" ht="409.5" customHeight="1"/>
    <row r="300" s="12" customFormat="1" ht="409.5" customHeight="1"/>
    <row r="301" s="12" customFormat="1" ht="409.5" customHeight="1"/>
    <row r="302" s="12" customFormat="1" ht="409.5" customHeight="1"/>
    <row r="303" s="12" customFormat="1" ht="409.5" customHeight="1"/>
    <row r="304" s="12" customFormat="1" ht="409.5" customHeight="1"/>
    <row r="305" s="12" customFormat="1" ht="409.5" customHeight="1"/>
    <row r="306" s="12" customFormat="1" ht="409.5" customHeight="1"/>
    <row r="307" s="12" customFormat="1" ht="409.5" customHeight="1"/>
    <row r="308" s="12" customFormat="1" ht="409.5" customHeight="1"/>
    <row r="309" s="12" customFormat="1" ht="409.5" customHeight="1"/>
    <row r="310" s="12" customFormat="1" ht="409.5" customHeight="1"/>
    <row r="311" s="12" customFormat="1" ht="409.5" customHeight="1"/>
    <row r="312" s="12" customFormat="1" ht="409.5" customHeight="1"/>
    <row r="313" s="12" customFormat="1" ht="409.5" customHeight="1"/>
    <row r="314" s="12" customFormat="1" ht="409.5" customHeight="1"/>
    <row r="315" s="12" customFormat="1" ht="409.5" customHeight="1"/>
    <row r="316" s="12" customFormat="1" ht="409.5" customHeight="1"/>
    <row r="317" s="12" customFormat="1" ht="409.5" customHeight="1"/>
    <row r="318" s="12" customFormat="1" ht="409.5" customHeight="1"/>
    <row r="319" s="12" customFormat="1" ht="409.5" customHeight="1"/>
    <row r="320" s="12" customFormat="1" ht="409.5" customHeight="1"/>
    <row r="321" s="12" customFormat="1" ht="409.5" customHeight="1"/>
    <row r="322" s="12" customFormat="1" ht="409.5" customHeight="1"/>
    <row r="323" s="12" customFormat="1" ht="409.5" customHeight="1"/>
    <row r="324" s="12" customFormat="1" ht="409.5" customHeight="1"/>
    <row r="325" s="12" customFormat="1" ht="409.5" customHeight="1"/>
    <row r="326" s="12" customFormat="1" ht="409.5" customHeight="1"/>
    <row r="327" s="12" customFormat="1" ht="409.5" customHeight="1"/>
    <row r="328" s="12" customFormat="1" ht="409.5" customHeight="1"/>
    <row r="329" s="12" customFormat="1" ht="409.5" customHeight="1"/>
    <row r="330" s="12" customFormat="1" ht="409.5" customHeight="1"/>
    <row r="331" s="12" customFormat="1" ht="409.5" customHeight="1"/>
    <row r="332" s="12" customFormat="1" ht="409.5" customHeight="1"/>
    <row r="333" s="12" customFormat="1" ht="409.5" customHeight="1"/>
    <row r="334" s="12" customFormat="1" ht="409.5" customHeight="1"/>
    <row r="335" s="12" customFormat="1" ht="409.5" customHeight="1"/>
    <row r="336" s="12" customFormat="1" ht="409.5" customHeight="1"/>
    <row r="337" s="12" customFormat="1" ht="409.5" customHeight="1"/>
    <row r="338" s="12" customFormat="1" ht="409.5" customHeight="1"/>
    <row r="339" s="12" customFormat="1" ht="409.5" customHeight="1"/>
    <row r="340" s="12" customFormat="1" ht="409.5" customHeight="1"/>
    <row r="341" s="12" customFormat="1" ht="409.5" customHeight="1"/>
    <row r="342" s="12" customFormat="1" ht="409.5" customHeight="1"/>
    <row r="343" s="12" customFormat="1" ht="409.5" customHeight="1"/>
    <row r="344" s="12" customFormat="1" ht="409.5" customHeight="1"/>
    <row r="345" s="12" customFormat="1" ht="409.5" customHeight="1"/>
    <row r="346" s="12" customFormat="1" ht="409.5" customHeight="1"/>
    <row r="347" s="12" customFormat="1" ht="409.5" customHeight="1"/>
    <row r="348" s="12" customFormat="1" ht="409.5" customHeight="1"/>
    <row r="349" s="12" customFormat="1" ht="409.5" customHeight="1"/>
    <row r="350" s="12" customFormat="1" ht="409.5" customHeight="1"/>
    <row r="351" s="12" customFormat="1" ht="409.5" customHeight="1"/>
    <row r="352" s="12" customFormat="1" ht="409.5" customHeight="1"/>
    <row r="353" s="12" customFormat="1" ht="409.5" customHeight="1"/>
    <row r="354" s="12" customFormat="1" ht="409.5" customHeight="1"/>
    <row r="355" s="12" customFormat="1" ht="409.5" customHeight="1"/>
    <row r="356" s="12" customFormat="1" ht="409.5" customHeight="1"/>
    <row r="357" s="12" customFormat="1" ht="409.5" customHeight="1"/>
    <row r="358" s="12" customFormat="1" ht="409.5" customHeight="1"/>
    <row r="359" s="12" customFormat="1" ht="409.5" customHeight="1"/>
    <row r="360" s="12" customFormat="1" ht="409.5" customHeight="1"/>
    <row r="361" s="12" customFormat="1" ht="409.5" customHeight="1"/>
    <row r="362" s="12" customFormat="1" ht="409.5" customHeight="1"/>
    <row r="363" s="12" customFormat="1" ht="409.5" customHeight="1"/>
    <row r="364" s="12" customFormat="1" ht="409.5" customHeight="1"/>
    <row r="365" s="12" customFormat="1" ht="409.5" customHeight="1"/>
    <row r="366" s="12" customFormat="1" ht="409.5" customHeight="1"/>
    <row r="367" s="12" customFormat="1" ht="409.5" customHeight="1"/>
    <row r="368" s="12" customFormat="1" ht="409.5" customHeight="1"/>
    <row r="369" s="12" customFormat="1" ht="409.5" customHeight="1"/>
    <row r="370" s="12" customFormat="1" ht="409.5" customHeight="1"/>
    <row r="371" s="12" customFormat="1" ht="409.5" customHeight="1"/>
    <row r="372" s="12" customFormat="1" ht="409.5" customHeight="1"/>
    <row r="373" s="12" customFormat="1" ht="409.5" customHeight="1"/>
    <row r="374" s="12" customFormat="1" ht="409.5" customHeight="1"/>
    <row r="375" s="12" customFormat="1" ht="409.5" customHeight="1"/>
    <row r="376" s="12" customFormat="1" ht="409.5" customHeight="1"/>
    <row r="377" s="12" customFormat="1" ht="409.5" customHeight="1"/>
    <row r="378" s="12" customFormat="1" ht="409.5" customHeight="1"/>
    <row r="379" s="12" customFormat="1" ht="409.5" customHeight="1"/>
    <row r="380" s="12" customFormat="1" ht="409.5" customHeight="1"/>
    <row r="381" s="12" customFormat="1" ht="409.5" customHeight="1"/>
    <row r="382" s="12" customFormat="1" ht="409.5" customHeight="1"/>
    <row r="383" s="12" customFormat="1" ht="409.5" customHeight="1"/>
    <row r="384" s="12" customFormat="1" ht="409.5" customHeight="1"/>
    <row r="385" s="12" customFormat="1" ht="409.5" customHeight="1"/>
    <row r="386" s="12" customFormat="1" ht="409.5" customHeight="1"/>
    <row r="387" s="12" customFormat="1" ht="409.5" customHeight="1"/>
    <row r="388" s="12" customFormat="1" ht="409.5" customHeight="1"/>
    <row r="389" s="12" customFormat="1" ht="409.5" customHeight="1"/>
    <row r="390" s="12" customFormat="1" ht="409.5" customHeight="1"/>
    <row r="391" s="12" customFormat="1" ht="409.5" customHeight="1"/>
    <row r="392" s="12" customFormat="1" ht="409.5" customHeight="1"/>
    <row r="393" s="12" customFormat="1" ht="409.5" customHeight="1"/>
    <row r="394" s="12" customFormat="1" ht="409.5" customHeight="1"/>
    <row r="395" s="12" customFormat="1" ht="409.5" customHeight="1"/>
    <row r="396" s="12" customFormat="1" ht="409.5" customHeight="1"/>
    <row r="397" s="12" customFormat="1" ht="409.5" customHeight="1"/>
    <row r="398" s="12" customFormat="1" ht="409.5" customHeight="1"/>
    <row r="399" s="12" customFormat="1" ht="409.5" customHeight="1"/>
    <row r="400" s="12" customFormat="1" ht="409.5" customHeight="1"/>
    <row r="401" s="12" customFormat="1" ht="409.5" customHeight="1"/>
    <row r="402" s="12" customFormat="1" ht="409.5" customHeight="1"/>
    <row r="403" s="12" customFormat="1" ht="409.5" customHeight="1"/>
    <row r="404" s="12" customFormat="1" ht="409.5" customHeight="1"/>
    <row r="405" s="12" customFormat="1" ht="409.5" customHeight="1"/>
    <row r="406" s="12" customFormat="1" ht="409.5" customHeight="1"/>
    <row r="407" s="12" customFormat="1" ht="409.5" customHeight="1"/>
    <row r="408" s="12" customFormat="1" ht="409.5" customHeight="1"/>
    <row r="409" s="12" customFormat="1" ht="409.5" customHeight="1"/>
    <row r="410" s="12" customFormat="1" ht="409.5" customHeight="1"/>
    <row r="411" s="12" customFormat="1" ht="409.5" customHeight="1"/>
    <row r="412" s="12" customFormat="1" ht="409.5" customHeight="1"/>
    <row r="413" s="12" customFormat="1" ht="409.5" customHeight="1"/>
    <row r="414" s="12" customFormat="1" ht="409.5" customHeight="1"/>
    <row r="415" s="12" customFormat="1" ht="409.5" customHeight="1"/>
    <row r="416" s="12" customFormat="1" ht="409.5" customHeight="1"/>
    <row r="417" s="12" customFormat="1" ht="409.5" customHeight="1"/>
    <row r="418" s="12" customFormat="1" ht="409.5" customHeight="1"/>
    <row r="419" s="12" customFormat="1" ht="409.5" customHeight="1"/>
    <row r="420" s="12" customFormat="1" ht="409.5" customHeight="1"/>
    <row r="421" s="12" customFormat="1" ht="409.5" customHeight="1"/>
    <row r="422" s="12" customFormat="1" ht="409.5" customHeight="1"/>
    <row r="423" s="12" customFormat="1" ht="409.5" customHeight="1"/>
    <row r="424" s="12" customFormat="1" ht="40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H106"/>
  <sheetViews>
    <sheetView showGridLines="0" showZeros="0" zoomScalePageLayoutView="0" workbookViewId="0" topLeftCell="A52">
      <selection activeCell="C71" sqref="C71"/>
    </sheetView>
  </sheetViews>
  <sheetFormatPr defaultColWidth="8.7109375" defaultRowHeight="12.75"/>
  <cols>
    <col min="1" max="1" width="30.57421875" style="62" customWidth="1"/>
    <col min="2" max="2" width="8.7109375" style="62" customWidth="1"/>
    <col min="3" max="3" width="13.57421875" style="62" customWidth="1"/>
    <col min="4" max="4" width="12.140625" style="62" customWidth="1"/>
    <col min="5" max="8" width="11.7109375" style="62" customWidth="1"/>
    <col min="9" max="16384" width="8.7109375" style="62" customWidth="1"/>
  </cols>
  <sheetData>
    <row r="1" spans="1:8" ht="12.75">
      <c r="A1" s="54"/>
      <c r="B1" s="54"/>
      <c r="C1" s="46"/>
      <c r="D1" s="46"/>
      <c r="E1" s="46"/>
      <c r="F1" s="46"/>
      <c r="G1" s="445" t="s">
        <v>44</v>
      </c>
      <c r="H1" s="446" t="str">
        <f>+Pressupostos!E1</f>
        <v>XFCP Lda</v>
      </c>
    </row>
    <row r="2" spans="1:8" ht="12.75">
      <c r="A2" s="54"/>
      <c r="B2" s="54"/>
      <c r="C2" s="54"/>
      <c r="D2" s="54"/>
      <c r="E2" s="54"/>
      <c r="F2" s="54"/>
      <c r="G2" s="54"/>
      <c r="H2" s="49" t="str">
        <f>+Pressupostos!B9</f>
        <v>Euros</v>
      </c>
    </row>
    <row r="3" spans="1:8" ht="12.75">
      <c r="A3" s="54"/>
      <c r="B3" s="54"/>
      <c r="C3" s="54"/>
      <c r="D3" s="54"/>
      <c r="E3" s="54"/>
      <c r="F3" s="54"/>
      <c r="G3" s="54"/>
      <c r="H3" s="49"/>
    </row>
    <row r="4" spans="1:8" ht="15.75">
      <c r="A4" s="613" t="s">
        <v>8</v>
      </c>
      <c r="B4" s="633"/>
      <c r="C4" s="633"/>
      <c r="D4" s="633"/>
      <c r="E4" s="633"/>
      <c r="F4" s="633"/>
      <c r="G4" s="633"/>
      <c r="H4" s="633"/>
    </row>
    <row r="5" spans="1:8" ht="12.75">
      <c r="A5" s="54"/>
      <c r="B5" s="54"/>
      <c r="C5" s="54"/>
      <c r="D5" s="54"/>
      <c r="E5" s="54"/>
      <c r="F5" s="54"/>
      <c r="G5" s="54"/>
      <c r="H5" s="54"/>
    </row>
    <row r="6" spans="1:8" ht="12.75">
      <c r="A6" s="54"/>
      <c r="B6" s="54"/>
      <c r="C6" s="54"/>
      <c r="D6" s="54"/>
      <c r="E6" s="54"/>
      <c r="F6" s="54"/>
      <c r="G6" s="54"/>
      <c r="H6" s="54"/>
    </row>
    <row r="7" spans="1:8" ht="12.75">
      <c r="A7" s="52"/>
      <c r="B7" s="71"/>
      <c r="C7" s="51">
        <f>+VN!C8</f>
        <v>2019</v>
      </c>
      <c r="D7" s="51">
        <f>+VN!D8</f>
        <v>2020</v>
      </c>
      <c r="E7" s="51">
        <f>+VN!E8</f>
        <v>2021</v>
      </c>
      <c r="F7" s="51">
        <f>+VN!F8</f>
        <v>2022</v>
      </c>
      <c r="G7" s="51">
        <f>+VN!G8</f>
        <v>2023</v>
      </c>
      <c r="H7" s="51">
        <f>+VN!H8</f>
        <v>2024</v>
      </c>
    </row>
    <row r="8" spans="1:8" ht="12.75">
      <c r="A8" s="126" t="s">
        <v>186</v>
      </c>
      <c r="B8" s="85"/>
      <c r="C8" s="93">
        <f>Investimento!C29+FundoManeio!C24</f>
        <v>0</v>
      </c>
      <c r="D8" s="93">
        <f>Investimento!D29+FundoManeio!D24</f>
        <v>0</v>
      </c>
      <c r="E8" s="93">
        <f>Investimento!E29+FundoManeio!E24</f>
        <v>0</v>
      </c>
      <c r="F8" s="93">
        <f>Investimento!F29+FundoManeio!F24</f>
        <v>0</v>
      </c>
      <c r="G8" s="93">
        <f>Investimento!G29+FundoManeio!G24</f>
        <v>0</v>
      </c>
      <c r="H8" s="93">
        <f>Investimento!H29+FundoManeio!H24</f>
        <v>0</v>
      </c>
    </row>
    <row r="9" spans="1:8" ht="12.75">
      <c r="A9" s="117" t="s">
        <v>390</v>
      </c>
      <c r="B9" s="85"/>
      <c r="C9" s="447"/>
      <c r="D9" s="29">
        <v>0</v>
      </c>
      <c r="E9" s="29">
        <v>0</v>
      </c>
      <c r="F9" s="29">
        <v>0</v>
      </c>
      <c r="G9" s="29">
        <v>0</v>
      </c>
      <c r="H9" s="29">
        <v>0</v>
      </c>
    </row>
    <row r="10" spans="1:8" ht="13.5" thickBot="1">
      <c r="A10" s="165" t="s">
        <v>391</v>
      </c>
      <c r="B10" s="166"/>
      <c r="C10" s="133">
        <f aca="true" t="shared" si="0" ref="C10:H10">+ROUND(C8*(1+C9),0)</f>
        <v>0</v>
      </c>
      <c r="D10" s="133">
        <f t="shared" si="0"/>
        <v>0</v>
      </c>
      <c r="E10" s="133">
        <f t="shared" si="0"/>
        <v>0</v>
      </c>
      <c r="F10" s="133">
        <f t="shared" si="0"/>
        <v>0</v>
      </c>
      <c r="G10" s="133">
        <f t="shared" si="0"/>
        <v>0</v>
      </c>
      <c r="H10" s="133">
        <f t="shared" si="0"/>
        <v>0</v>
      </c>
    </row>
    <row r="11" spans="1:8" ht="13.5" thickTop="1">
      <c r="A11" s="54"/>
      <c r="B11" s="54"/>
      <c r="C11" s="167"/>
      <c r="D11" s="167"/>
      <c r="E11" s="167"/>
      <c r="F11" s="167"/>
      <c r="G11" s="167"/>
      <c r="H11" s="167"/>
    </row>
    <row r="12" spans="1:8" ht="12.75">
      <c r="A12" s="54"/>
      <c r="B12" s="54"/>
      <c r="C12" s="167"/>
      <c r="D12" s="167"/>
      <c r="E12" s="167"/>
      <c r="F12" s="167"/>
      <c r="G12" s="167"/>
      <c r="H12" s="167"/>
    </row>
    <row r="13" spans="1:8" ht="12.75">
      <c r="A13" s="126" t="s">
        <v>103</v>
      </c>
      <c r="B13" s="85"/>
      <c r="C13" s="51">
        <f aca="true" t="shared" si="1" ref="C13:H13">+C7</f>
        <v>2019</v>
      </c>
      <c r="D13" s="51">
        <f t="shared" si="1"/>
        <v>2020</v>
      </c>
      <c r="E13" s="51">
        <f t="shared" si="1"/>
        <v>2021</v>
      </c>
      <c r="F13" s="51">
        <f t="shared" si="1"/>
        <v>2022</v>
      </c>
      <c r="G13" s="51">
        <f t="shared" si="1"/>
        <v>2023</v>
      </c>
      <c r="H13" s="51">
        <f t="shared" si="1"/>
        <v>2024</v>
      </c>
    </row>
    <row r="14" spans="1:8" ht="12.75">
      <c r="A14" s="55" t="s">
        <v>77</v>
      </c>
      <c r="B14" s="85"/>
      <c r="C14" s="132">
        <f>IF(+'Cash Flow'!C12&gt;0,'Cash Flow'!C12,0)</f>
        <v>0</v>
      </c>
      <c r="D14" s="132">
        <f>IF(+'Cash Flow'!D12&gt;0,'Cash Flow'!D12,0)</f>
        <v>0</v>
      </c>
      <c r="E14" s="132">
        <f>IF(+'Cash Flow'!E12&gt;0,'Cash Flow'!E12,0)</f>
        <v>0</v>
      </c>
      <c r="F14" s="132">
        <f>IF(+'Cash Flow'!F12&gt;0,'Cash Flow'!F12,0)</f>
        <v>0</v>
      </c>
      <c r="G14" s="132">
        <f>IF(+'Cash Flow'!G12&gt;0,'Cash Flow'!G12,0)</f>
        <v>0</v>
      </c>
      <c r="H14" s="132">
        <f>IF(+'Cash Flow'!H12&gt;0,'Cash Flow'!H12,0)</f>
        <v>0</v>
      </c>
    </row>
    <row r="15" spans="1:8" ht="12.75">
      <c r="A15" s="55" t="s">
        <v>174</v>
      </c>
      <c r="B15" s="85"/>
      <c r="C15" s="44">
        <f>0.25*C10</f>
        <v>0</v>
      </c>
      <c r="D15" s="44"/>
      <c r="E15" s="44"/>
      <c r="F15" s="44"/>
      <c r="G15" s="44"/>
      <c r="H15" s="44"/>
    </row>
    <row r="16" spans="1:8" ht="12.75">
      <c r="A16" s="55" t="s">
        <v>278</v>
      </c>
      <c r="B16" s="85"/>
      <c r="C16" s="44"/>
      <c r="D16" s="44"/>
      <c r="E16" s="44"/>
      <c r="F16" s="44"/>
      <c r="G16" s="44"/>
      <c r="H16" s="44"/>
    </row>
    <row r="17" spans="1:8" ht="12.75">
      <c r="A17" s="55" t="s">
        <v>187</v>
      </c>
      <c r="B17" s="85"/>
      <c r="C17" s="44"/>
      <c r="D17" s="44"/>
      <c r="E17" s="44"/>
      <c r="F17" s="44"/>
      <c r="G17" s="44"/>
      <c r="H17" s="44"/>
    </row>
    <row r="18" spans="1:8" ht="12.75">
      <c r="A18" s="55" t="s">
        <v>392</v>
      </c>
      <c r="B18" s="71"/>
      <c r="C18" s="570">
        <f>+C10-C15-C16-C17-C19</f>
        <v>0</v>
      </c>
      <c r="D18" s="570">
        <f>0.5*FundoManeio!D24</f>
        <v>0</v>
      </c>
      <c r="E18" s="570"/>
      <c r="F18" s="570"/>
      <c r="G18" s="570"/>
      <c r="H18" s="570"/>
    </row>
    <row r="19" spans="1:8" ht="12.75">
      <c r="A19" s="295" t="s">
        <v>393</v>
      </c>
      <c r="B19" s="267"/>
      <c r="C19" s="39"/>
      <c r="D19" s="39"/>
      <c r="E19" s="39"/>
      <c r="F19" s="39"/>
      <c r="G19" s="39"/>
      <c r="H19" s="39"/>
    </row>
    <row r="20" spans="1:8" ht="14.25" customHeight="1" thickBot="1">
      <c r="A20" s="629" t="s">
        <v>63</v>
      </c>
      <c r="B20" s="631"/>
      <c r="C20" s="133">
        <f aca="true" t="shared" si="2" ref="C20:H20">SUM(C14:C19)</f>
        <v>0</v>
      </c>
      <c r="D20" s="133">
        <f t="shared" si="2"/>
        <v>0</v>
      </c>
      <c r="E20" s="133">
        <f t="shared" si="2"/>
        <v>0</v>
      </c>
      <c r="F20" s="133">
        <f t="shared" si="2"/>
        <v>0</v>
      </c>
      <c r="G20" s="133">
        <f t="shared" si="2"/>
        <v>0</v>
      </c>
      <c r="H20" s="133">
        <f t="shared" si="2"/>
        <v>0</v>
      </c>
    </row>
    <row r="21" spans="1:8" ht="13.5" thickTop="1">
      <c r="A21" s="54"/>
      <c r="B21" s="54"/>
      <c r="C21" s="168"/>
      <c r="D21" s="168"/>
      <c r="E21" s="168"/>
      <c r="F21" s="168"/>
      <c r="G21" s="168"/>
      <c r="H21" s="168"/>
    </row>
    <row r="22" spans="1:8" ht="12.75">
      <c r="A22" s="54" t="s">
        <v>394</v>
      </c>
      <c r="B22" s="571"/>
      <c r="C22" s="169"/>
      <c r="D22" s="169"/>
      <c r="E22" s="169"/>
      <c r="F22" s="169"/>
      <c r="G22" s="169"/>
      <c r="H22" s="169"/>
    </row>
    <row r="23" spans="1:8" ht="12.75">
      <c r="A23" s="54" t="s">
        <v>503</v>
      </c>
      <c r="B23" s="572"/>
      <c r="C23" s="169"/>
      <c r="D23" s="169"/>
      <c r="E23" s="169"/>
      <c r="F23" s="169"/>
      <c r="G23" s="169"/>
      <c r="H23" s="169"/>
    </row>
    <row r="24" spans="1:8" ht="12.75">
      <c r="A24" s="54" t="s">
        <v>395</v>
      </c>
      <c r="B24" s="571"/>
      <c r="C24" s="169"/>
      <c r="D24" s="169"/>
      <c r="E24" s="169"/>
      <c r="F24" s="169"/>
      <c r="G24" s="169"/>
      <c r="H24" s="169"/>
    </row>
    <row r="25" spans="1:8" ht="12.75">
      <c r="A25" s="54"/>
      <c r="B25" s="54"/>
      <c r="C25" s="54"/>
      <c r="D25" s="54"/>
      <c r="E25" s="54"/>
      <c r="F25" s="54"/>
      <c r="G25" s="54"/>
      <c r="H25" s="54"/>
    </row>
    <row r="26" spans="1:8" ht="12.75">
      <c r="A26" s="185">
        <f>+C13</f>
        <v>2019</v>
      </c>
      <c r="B26" s="54"/>
      <c r="C26" s="54"/>
      <c r="D26" s="54"/>
      <c r="E26" s="54"/>
      <c r="F26" s="54"/>
      <c r="G26" s="54"/>
      <c r="H26" s="54"/>
    </row>
    <row r="27" spans="1:8" ht="12.75">
      <c r="A27" s="55" t="s">
        <v>396</v>
      </c>
      <c r="B27" s="71"/>
      <c r="C27" s="171">
        <f>+C18</f>
        <v>0</v>
      </c>
      <c r="D27" s="132">
        <f>+C33</f>
        <v>0</v>
      </c>
      <c r="E27" s="132">
        <f>+D33</f>
        <v>0</v>
      </c>
      <c r="F27" s="132">
        <f>+E33</f>
        <v>0</v>
      </c>
      <c r="G27" s="132">
        <f>+F33</f>
        <v>0</v>
      </c>
      <c r="H27" s="132">
        <f>+G33</f>
        <v>0</v>
      </c>
    </row>
    <row r="28" spans="1:8" ht="12.75">
      <c r="A28" s="55" t="s">
        <v>5</v>
      </c>
      <c r="B28" s="71"/>
      <c r="C28" s="173">
        <f aca="true" t="shared" si="3" ref="C28:H28">$B$23</f>
        <v>0</v>
      </c>
      <c r="D28" s="173">
        <f t="shared" si="3"/>
        <v>0</v>
      </c>
      <c r="E28" s="173">
        <f t="shared" si="3"/>
        <v>0</v>
      </c>
      <c r="F28" s="173">
        <f t="shared" si="3"/>
        <v>0</v>
      </c>
      <c r="G28" s="173">
        <f t="shared" si="3"/>
        <v>0</v>
      </c>
      <c r="H28" s="173">
        <f t="shared" si="3"/>
        <v>0</v>
      </c>
    </row>
    <row r="29" spans="1:8" ht="12.75">
      <c r="A29" s="55" t="s">
        <v>6</v>
      </c>
      <c r="B29" s="71"/>
      <c r="C29" s="132">
        <f>+C27*C28*FSE!F8/12</f>
        <v>0</v>
      </c>
      <c r="D29" s="132">
        <f>+D27*D28</f>
        <v>0</v>
      </c>
      <c r="E29" s="132">
        <f>+E27*E28</f>
        <v>0</v>
      </c>
      <c r="F29" s="132">
        <f>+F27*F28</f>
        <v>0</v>
      </c>
      <c r="G29" s="132">
        <f>+G27*G28</f>
        <v>0</v>
      </c>
      <c r="H29" s="132">
        <f>+H27*H28</f>
        <v>0</v>
      </c>
    </row>
    <row r="30" spans="1:8" ht="12.75">
      <c r="A30" s="55" t="s">
        <v>7</v>
      </c>
      <c r="B30" s="71"/>
      <c r="C30" s="132">
        <f>IF(B24&gt;=0,0,C27/B22)</f>
        <v>0</v>
      </c>
      <c r="D30" s="132">
        <f>IF(B24&gt;=1,0,IF(C27=0,0,+$C$27/$B$22))</f>
        <v>0</v>
      </c>
      <c r="E30" s="132">
        <f>IF(B24&gt;=2,0,IF(D33&lt;=0,0,+$C$27/$B$22))</f>
        <v>0</v>
      </c>
      <c r="F30" s="132">
        <f>IF(B24&gt;=3,0,IF(E33&lt;=0,0,+$C$27/$B$22))</f>
        <v>0</v>
      </c>
      <c r="G30" s="132">
        <f>IF(B24&gt;=4,0,IF(F33&lt;=0,0,+$C$27/$B$22))</f>
        <v>0</v>
      </c>
      <c r="H30" s="132">
        <f>IF(B24&gt;=5,0,IF(G33&lt;=0,0,+$C$27/$B$22))</f>
        <v>0</v>
      </c>
    </row>
    <row r="31" spans="1:8" ht="12.75">
      <c r="A31" s="55" t="s">
        <v>234</v>
      </c>
      <c r="B31" s="71"/>
      <c r="C31" s="132">
        <f aca="true" t="shared" si="4" ref="C31:H31">+C29*0.04</f>
        <v>0</v>
      </c>
      <c r="D31" s="132">
        <f t="shared" si="4"/>
        <v>0</v>
      </c>
      <c r="E31" s="132">
        <f t="shared" si="4"/>
        <v>0</v>
      </c>
      <c r="F31" s="132">
        <f t="shared" si="4"/>
        <v>0</v>
      </c>
      <c r="G31" s="132">
        <f t="shared" si="4"/>
        <v>0</v>
      </c>
      <c r="H31" s="132">
        <f t="shared" si="4"/>
        <v>0</v>
      </c>
    </row>
    <row r="32" spans="1:8" ht="12.75">
      <c r="A32" s="55" t="s">
        <v>397</v>
      </c>
      <c r="B32" s="71"/>
      <c r="C32" s="132">
        <f aca="true" t="shared" si="5" ref="C32:H32">+C29+C30+C31</f>
        <v>0</v>
      </c>
      <c r="D32" s="132">
        <f t="shared" si="5"/>
        <v>0</v>
      </c>
      <c r="E32" s="132">
        <f t="shared" si="5"/>
        <v>0</v>
      </c>
      <c r="F32" s="132">
        <f t="shared" si="5"/>
        <v>0</v>
      </c>
      <c r="G32" s="132">
        <f t="shared" si="5"/>
        <v>0</v>
      </c>
      <c r="H32" s="132">
        <f t="shared" si="5"/>
        <v>0</v>
      </c>
    </row>
    <row r="33" spans="1:8" ht="12.75">
      <c r="A33" s="55" t="s">
        <v>398</v>
      </c>
      <c r="B33" s="71"/>
      <c r="C33" s="175">
        <f aca="true" t="shared" si="6" ref="C33:H33">+C27-C30</f>
        <v>0</v>
      </c>
      <c r="D33" s="132">
        <f t="shared" si="6"/>
        <v>0</v>
      </c>
      <c r="E33" s="132">
        <f t="shared" si="6"/>
        <v>0</v>
      </c>
      <c r="F33" s="132">
        <f t="shared" si="6"/>
        <v>0</v>
      </c>
      <c r="G33" s="132">
        <f t="shared" si="6"/>
        <v>0</v>
      </c>
      <c r="H33" s="132">
        <f t="shared" si="6"/>
        <v>0</v>
      </c>
    </row>
    <row r="34" spans="1:8" ht="12.75">
      <c r="A34" s="54"/>
      <c r="B34" s="54"/>
      <c r="C34" s="54"/>
      <c r="D34" s="54"/>
      <c r="E34" s="54"/>
      <c r="F34" s="54"/>
      <c r="G34" s="54"/>
      <c r="H34" s="54"/>
    </row>
    <row r="35" spans="1:8" ht="12.75">
      <c r="A35" s="54" t="s">
        <v>394</v>
      </c>
      <c r="B35" s="571"/>
      <c r="C35" s="54"/>
      <c r="D35" s="54"/>
      <c r="E35" s="54"/>
      <c r="F35" s="54"/>
      <c r="G35" s="54"/>
      <c r="H35" s="54"/>
    </row>
    <row r="36" spans="1:8" ht="12.75">
      <c r="A36" s="54" t="s">
        <v>503</v>
      </c>
      <c r="B36" s="572"/>
      <c r="C36" s="54"/>
      <c r="D36" s="54"/>
      <c r="E36" s="54"/>
      <c r="F36" s="54"/>
      <c r="G36" s="54"/>
      <c r="H36" s="54"/>
    </row>
    <row r="37" spans="1:8" ht="12.75">
      <c r="A37" s="54" t="s">
        <v>395</v>
      </c>
      <c r="B37" s="571"/>
      <c r="C37" s="54"/>
      <c r="D37" s="54"/>
      <c r="E37" s="54"/>
      <c r="F37" s="54"/>
      <c r="G37" s="54"/>
      <c r="H37" s="54"/>
    </row>
    <row r="38" spans="1:8" ht="12.75">
      <c r="A38" s="54"/>
      <c r="B38" s="54"/>
      <c r="C38" s="54"/>
      <c r="D38" s="54"/>
      <c r="E38" s="54"/>
      <c r="F38" s="54"/>
      <c r="G38" s="54"/>
      <c r="H38" s="54"/>
    </row>
    <row r="39" spans="1:8" ht="12.75">
      <c r="A39" s="185">
        <f>+D13</f>
        <v>2020</v>
      </c>
      <c r="B39" s="54"/>
      <c r="C39" s="54"/>
      <c r="D39" s="54"/>
      <c r="E39" s="54"/>
      <c r="F39" s="54"/>
      <c r="G39" s="54"/>
      <c r="H39" s="54"/>
    </row>
    <row r="40" spans="1:8" ht="12.75">
      <c r="A40" s="55" t="s">
        <v>396</v>
      </c>
      <c r="B40" s="71"/>
      <c r="C40" s="171"/>
      <c r="D40" s="132">
        <f>+D18</f>
        <v>0</v>
      </c>
      <c r="E40" s="132">
        <f>+D46</f>
        <v>0</v>
      </c>
      <c r="F40" s="132">
        <f>+E46</f>
        <v>0</v>
      </c>
      <c r="G40" s="132">
        <f>+F46</f>
        <v>0</v>
      </c>
      <c r="H40" s="132">
        <f>+G46</f>
        <v>0</v>
      </c>
    </row>
    <row r="41" spans="1:8" ht="12.75">
      <c r="A41" s="55" t="s">
        <v>5</v>
      </c>
      <c r="B41" s="71"/>
      <c r="C41" s="172"/>
      <c r="D41" s="173">
        <f>$B$36</f>
        <v>0</v>
      </c>
      <c r="E41" s="173">
        <f>$B$36</f>
        <v>0</v>
      </c>
      <c r="F41" s="173">
        <f>$B$36</f>
        <v>0</v>
      </c>
      <c r="G41" s="173">
        <f>$B$36</f>
        <v>0</v>
      </c>
      <c r="H41" s="173">
        <f>$B$36</f>
        <v>0</v>
      </c>
    </row>
    <row r="42" spans="1:8" ht="12.75">
      <c r="A42" s="55" t="s">
        <v>6</v>
      </c>
      <c r="B42" s="71"/>
      <c r="C42" s="174"/>
      <c r="D42" s="132">
        <f>+D40*D41</f>
        <v>0</v>
      </c>
      <c r="E42" s="132">
        <f>+E40*E41</f>
        <v>0</v>
      </c>
      <c r="F42" s="132">
        <f>+F40*F41</f>
        <v>0</v>
      </c>
      <c r="G42" s="132">
        <f>+G40*G41</f>
        <v>0</v>
      </c>
      <c r="H42" s="132">
        <f>+H40*H41</f>
        <v>0</v>
      </c>
    </row>
    <row r="43" spans="1:8" ht="12.75">
      <c r="A43" s="55" t="s">
        <v>7</v>
      </c>
      <c r="B43" s="71"/>
      <c r="C43" s="174"/>
      <c r="D43" s="132">
        <f>IF(B37&gt;=0,0,D40/B35)</f>
        <v>0</v>
      </c>
      <c r="E43" s="132">
        <f>IF(B37&gt;=1,0,IF(D46&lt;=0,0,+$D$40/$B$35))</f>
        <v>0</v>
      </c>
      <c r="F43" s="132">
        <f>IF(B37&gt;=2,0,IF(E46&lt;=0,0,+$D$40/$B$35))</f>
        <v>0</v>
      </c>
      <c r="G43" s="132">
        <f>IF(B37&gt;=3,0,IF(F46&lt;=0,0,+$D$40/$B$35))</f>
        <v>0</v>
      </c>
      <c r="H43" s="132">
        <f>IF(B37&gt;=4,0,IF(G46&lt;=0,0,+$D$40/$B$35))</f>
        <v>0</v>
      </c>
    </row>
    <row r="44" spans="1:8" ht="12.75">
      <c r="A44" s="55" t="s">
        <v>234</v>
      </c>
      <c r="B44" s="71"/>
      <c r="C44" s="174"/>
      <c r="D44" s="132">
        <f>+D42*0.04</f>
        <v>0</v>
      </c>
      <c r="E44" s="132">
        <f>+E42*0.04</f>
        <v>0</v>
      </c>
      <c r="F44" s="132">
        <f>+F42*0.04</f>
        <v>0</v>
      </c>
      <c r="G44" s="132">
        <f>+G42*0.04</f>
        <v>0</v>
      </c>
      <c r="H44" s="132">
        <f>+H42*0.04</f>
        <v>0</v>
      </c>
    </row>
    <row r="45" spans="1:8" ht="12.75">
      <c r="A45" s="55" t="s">
        <v>397</v>
      </c>
      <c r="B45" s="71"/>
      <c r="C45" s="174"/>
      <c r="D45" s="132">
        <f>+D42+D43+D44</f>
        <v>0</v>
      </c>
      <c r="E45" s="132">
        <f>+E42+E43+E44</f>
        <v>0</v>
      </c>
      <c r="F45" s="132">
        <f>+F42+F43+F44</f>
        <v>0</v>
      </c>
      <c r="G45" s="132">
        <f>+G42+G43+G44</f>
        <v>0</v>
      </c>
      <c r="H45" s="132">
        <f>+H42+H43+H44</f>
        <v>0</v>
      </c>
    </row>
    <row r="46" spans="1:8" ht="12.75">
      <c r="A46" s="55" t="s">
        <v>398</v>
      </c>
      <c r="B46" s="71"/>
      <c r="C46" s="176"/>
      <c r="D46" s="132">
        <f>+D40-D43</f>
        <v>0</v>
      </c>
      <c r="E46" s="132">
        <f>+E40-E43</f>
        <v>0</v>
      </c>
      <c r="F46" s="132">
        <f>+F40-F43</f>
        <v>0</v>
      </c>
      <c r="G46" s="132">
        <f>+G40-G43</f>
        <v>0</v>
      </c>
      <c r="H46" s="132">
        <f>+H40-H43</f>
        <v>0</v>
      </c>
    </row>
    <row r="47" spans="1:8" ht="12.75">
      <c r="A47" s="54"/>
      <c r="B47" s="54"/>
      <c r="C47" s="54"/>
      <c r="D47" s="54"/>
      <c r="E47" s="54"/>
      <c r="F47" s="54"/>
      <c r="G47" s="54"/>
      <c r="H47" s="54"/>
    </row>
    <row r="48" spans="1:8" ht="12.75">
      <c r="A48" s="54" t="s">
        <v>394</v>
      </c>
      <c r="B48" s="571"/>
      <c r="C48" s="54"/>
      <c r="D48" s="54"/>
      <c r="E48" s="54"/>
      <c r="F48" s="54"/>
      <c r="G48" s="54"/>
      <c r="H48" s="54"/>
    </row>
    <row r="49" spans="1:8" ht="12.75">
      <c r="A49" s="54" t="s">
        <v>503</v>
      </c>
      <c r="B49" s="573"/>
      <c r="C49" s="54"/>
      <c r="D49" s="54"/>
      <c r="E49" s="54"/>
      <c r="F49" s="54"/>
      <c r="G49" s="54"/>
      <c r="H49" s="54"/>
    </row>
    <row r="50" spans="1:8" ht="12.75">
      <c r="A50" s="54" t="s">
        <v>395</v>
      </c>
      <c r="B50" s="571"/>
      <c r="C50" s="54"/>
      <c r="D50" s="54"/>
      <c r="E50" s="54"/>
      <c r="F50" s="54"/>
      <c r="G50" s="54"/>
      <c r="H50" s="54"/>
    </row>
    <row r="51" spans="1:8" ht="12.75">
      <c r="A51" s="54"/>
      <c r="B51" s="54"/>
      <c r="C51" s="54"/>
      <c r="D51" s="54"/>
      <c r="E51" s="54"/>
      <c r="F51" s="54"/>
      <c r="G51" s="54"/>
      <c r="H51" s="54"/>
    </row>
    <row r="52" spans="1:8" ht="12.75">
      <c r="A52" s="185">
        <f>+E13</f>
        <v>2021</v>
      </c>
      <c r="B52" s="54"/>
      <c r="C52" s="54"/>
      <c r="D52" s="54"/>
      <c r="E52" s="54"/>
      <c r="F52" s="54"/>
      <c r="G52" s="54"/>
      <c r="H52" s="54"/>
    </row>
    <row r="53" spans="1:8" ht="12.75">
      <c r="A53" s="55" t="s">
        <v>396</v>
      </c>
      <c r="B53" s="71"/>
      <c r="C53" s="177"/>
      <c r="D53" s="183"/>
      <c r="E53" s="132">
        <f>+E18</f>
        <v>0</v>
      </c>
      <c r="F53" s="132">
        <f>+E59</f>
        <v>0</v>
      </c>
      <c r="G53" s="132">
        <f>+F59</f>
        <v>0</v>
      </c>
      <c r="H53" s="132">
        <f>+G59</f>
        <v>0</v>
      </c>
    </row>
    <row r="54" spans="1:8" ht="12.75">
      <c r="A54" s="55" t="s">
        <v>5</v>
      </c>
      <c r="B54" s="71"/>
      <c r="C54" s="179"/>
      <c r="D54" s="180"/>
      <c r="E54" s="173">
        <f>$B$49</f>
        <v>0</v>
      </c>
      <c r="F54" s="173">
        <f>$B$49</f>
        <v>0</v>
      </c>
      <c r="G54" s="173">
        <f>$B$49</f>
        <v>0</v>
      </c>
      <c r="H54" s="173">
        <f>$B$49</f>
        <v>0</v>
      </c>
    </row>
    <row r="55" spans="1:8" ht="12.75">
      <c r="A55" s="55" t="s">
        <v>6</v>
      </c>
      <c r="B55" s="71"/>
      <c r="C55" s="181"/>
      <c r="D55" s="182"/>
      <c r="E55" s="132">
        <f>+E53*E54</f>
        <v>0</v>
      </c>
      <c r="F55" s="175">
        <f>+F53*F54</f>
        <v>0</v>
      </c>
      <c r="G55" s="175">
        <f>+G53*G54</f>
        <v>0</v>
      </c>
      <c r="H55" s="175">
        <f>+H53*H54</f>
        <v>0</v>
      </c>
    </row>
    <row r="56" spans="1:8" ht="12.75">
      <c r="A56" s="55" t="s">
        <v>7</v>
      </c>
      <c r="B56" s="71"/>
      <c r="C56" s="181"/>
      <c r="D56" s="182"/>
      <c r="E56" s="132">
        <f>IF(B50&gt;=0,0,E53/B48)</f>
        <v>0</v>
      </c>
      <c r="F56" s="132">
        <f>IF(B50&gt;=1,0,IF(E59&lt;=9,0,$E$53/$B$48))</f>
        <v>0</v>
      </c>
      <c r="G56" s="132">
        <f>IF(B50&gt;=2,0,IF(F59&lt;=9,0,$E$53/$B$48))</f>
        <v>0</v>
      </c>
      <c r="H56" s="132">
        <f>IF(B50&gt;=3,0,IF(G59&lt;=9,0,$E$53/$B$48))</f>
        <v>0</v>
      </c>
    </row>
    <row r="57" spans="1:8" ht="12.75">
      <c r="A57" s="55" t="s">
        <v>234</v>
      </c>
      <c r="B57" s="71"/>
      <c r="C57" s="181"/>
      <c r="D57" s="182"/>
      <c r="E57" s="132">
        <f>+E55*0.04</f>
        <v>0</v>
      </c>
      <c r="F57" s="132">
        <f>+F55*0.04</f>
        <v>0</v>
      </c>
      <c r="G57" s="132">
        <f>+G55*0.04</f>
        <v>0</v>
      </c>
      <c r="H57" s="132">
        <f>+H55*0.04</f>
        <v>0</v>
      </c>
    </row>
    <row r="58" spans="1:8" ht="12.75">
      <c r="A58" s="55" t="s">
        <v>397</v>
      </c>
      <c r="B58" s="71"/>
      <c r="C58" s="181"/>
      <c r="D58" s="182"/>
      <c r="E58" s="132">
        <f>+E55+E56+E57</f>
        <v>0</v>
      </c>
      <c r="F58" s="175">
        <f>+F55+F56+F57</f>
        <v>0</v>
      </c>
      <c r="G58" s="175">
        <f>+G55+G56+G57</f>
        <v>0</v>
      </c>
      <c r="H58" s="175">
        <f>+H55+H56+H57</f>
        <v>0</v>
      </c>
    </row>
    <row r="59" spans="1:8" ht="12.75">
      <c r="A59" s="55" t="s">
        <v>399</v>
      </c>
      <c r="B59" s="71"/>
      <c r="C59" s="176"/>
      <c r="D59" s="182"/>
      <c r="E59" s="132">
        <f>+E53-E56</f>
        <v>0</v>
      </c>
      <c r="F59" s="175">
        <f>+F53-F56</f>
        <v>0</v>
      </c>
      <c r="G59" s="175">
        <f>+G53-G56</f>
        <v>0</v>
      </c>
      <c r="H59" s="175">
        <f>+H53-H56</f>
        <v>0</v>
      </c>
    </row>
    <row r="60" spans="1:8" ht="12.75">
      <c r="A60" s="54"/>
      <c r="B60" s="54"/>
      <c r="C60" s="54"/>
      <c r="D60" s="54"/>
      <c r="E60" s="54"/>
      <c r="F60" s="54"/>
      <c r="G60" s="54"/>
      <c r="H60" s="54"/>
    </row>
    <row r="61" spans="1:8" ht="12.75">
      <c r="A61" s="54" t="s">
        <v>394</v>
      </c>
      <c r="B61" s="571"/>
      <c r="C61" s="54"/>
      <c r="D61" s="54"/>
      <c r="E61" s="54"/>
      <c r="F61" s="54"/>
      <c r="G61" s="54"/>
      <c r="H61" s="54"/>
    </row>
    <row r="62" spans="1:8" ht="12.75">
      <c r="A62" s="54" t="s">
        <v>503</v>
      </c>
      <c r="B62" s="573"/>
      <c r="C62" s="54"/>
      <c r="D62" s="54"/>
      <c r="E62" s="54"/>
      <c r="F62" s="54"/>
      <c r="G62" s="54"/>
      <c r="H62" s="54"/>
    </row>
    <row r="63" spans="1:8" ht="12.75">
      <c r="A63" s="54" t="s">
        <v>395</v>
      </c>
      <c r="B63" s="571"/>
      <c r="C63" s="54"/>
      <c r="D63" s="54"/>
      <c r="E63" s="54"/>
      <c r="F63" s="54"/>
      <c r="G63" s="54"/>
      <c r="H63" s="54"/>
    </row>
    <row r="64" spans="1:8" ht="12.75">
      <c r="A64" s="54"/>
      <c r="B64" s="354"/>
      <c r="C64" s="54"/>
      <c r="D64" s="54"/>
      <c r="E64" s="54"/>
      <c r="F64" s="54"/>
      <c r="G64" s="54"/>
      <c r="H64" s="54"/>
    </row>
    <row r="65" spans="1:8" ht="12.75">
      <c r="A65" s="185">
        <f>+F13</f>
        <v>2022</v>
      </c>
      <c r="B65" s="54"/>
      <c r="C65" s="54"/>
      <c r="D65" s="54"/>
      <c r="E65" s="54"/>
      <c r="F65" s="54"/>
      <c r="G65" s="54"/>
      <c r="H65" s="54"/>
    </row>
    <row r="66" spans="1:8" ht="12.75">
      <c r="A66" s="55" t="s">
        <v>396</v>
      </c>
      <c r="B66" s="71"/>
      <c r="C66" s="177"/>
      <c r="D66" s="183"/>
      <c r="E66" s="178"/>
      <c r="F66" s="132">
        <f>+F18</f>
        <v>0</v>
      </c>
      <c r="G66" s="132">
        <f>+F72</f>
        <v>0</v>
      </c>
      <c r="H66" s="132">
        <f>+G72</f>
        <v>0</v>
      </c>
    </row>
    <row r="67" spans="1:8" ht="12.75">
      <c r="A67" s="55" t="s">
        <v>5</v>
      </c>
      <c r="B67" s="71"/>
      <c r="C67" s="179"/>
      <c r="D67" s="180"/>
      <c r="E67" s="180"/>
      <c r="F67" s="173">
        <f>$B$62</f>
        <v>0</v>
      </c>
      <c r="G67" s="173">
        <f>$B$62</f>
        <v>0</v>
      </c>
      <c r="H67" s="173">
        <f>$B$62</f>
        <v>0</v>
      </c>
    </row>
    <row r="68" spans="1:8" ht="12.75">
      <c r="A68" s="55" t="s">
        <v>6</v>
      </c>
      <c r="B68" s="71"/>
      <c r="C68" s="181"/>
      <c r="D68" s="182"/>
      <c r="E68" s="182"/>
      <c r="F68" s="132">
        <f>+F66*F67</f>
        <v>0</v>
      </c>
      <c r="G68" s="175">
        <f>+G66*G67</f>
        <v>0</v>
      </c>
      <c r="H68" s="175">
        <f>+H66*H67</f>
        <v>0</v>
      </c>
    </row>
    <row r="69" spans="1:8" ht="12.75">
      <c r="A69" s="55" t="s">
        <v>7</v>
      </c>
      <c r="B69" s="71"/>
      <c r="C69" s="181"/>
      <c r="D69" s="182"/>
      <c r="E69" s="182"/>
      <c r="F69" s="132">
        <f>IF(B63&gt;=0,0,F66/B61)</f>
        <v>0</v>
      </c>
      <c r="G69" s="175">
        <f>IF(B63&gt;=1,0,IF(F72&lt;=0,0,$F$66/$B$61))</f>
        <v>0</v>
      </c>
      <c r="H69" s="175">
        <f>IF(B63&gt;=2,0,IF(G72&lt;=0,0,$F$66/$B$61))</f>
        <v>0</v>
      </c>
    </row>
    <row r="70" spans="1:8" ht="12.75">
      <c r="A70" s="55" t="s">
        <v>234</v>
      </c>
      <c r="B70" s="71"/>
      <c r="C70" s="181"/>
      <c r="D70" s="182"/>
      <c r="E70" s="182"/>
      <c r="F70" s="132">
        <f>+F68*0.04</f>
        <v>0</v>
      </c>
      <c r="G70" s="132">
        <f>+G68*0.04</f>
        <v>0</v>
      </c>
      <c r="H70" s="132">
        <f>+H68*0.04</f>
        <v>0</v>
      </c>
    </row>
    <row r="71" spans="1:8" ht="12.75">
      <c r="A71" s="55" t="s">
        <v>397</v>
      </c>
      <c r="B71" s="71"/>
      <c r="C71" s="181"/>
      <c r="D71" s="182"/>
      <c r="E71" s="182"/>
      <c r="F71" s="132">
        <f>+F68+F69+F70</f>
        <v>0</v>
      </c>
      <c r="G71" s="175">
        <f>+G68+G69+G70</f>
        <v>0</v>
      </c>
      <c r="H71" s="175">
        <f>+H68+H69+H70</f>
        <v>0</v>
      </c>
    </row>
    <row r="72" spans="1:8" ht="12.75">
      <c r="A72" s="55" t="s">
        <v>398</v>
      </c>
      <c r="B72" s="71"/>
      <c r="C72" s="176"/>
      <c r="D72" s="182"/>
      <c r="E72" s="182"/>
      <c r="F72" s="132">
        <f>+F66-F69</f>
        <v>0</v>
      </c>
      <c r="G72" s="175">
        <f>+G66-G69</f>
        <v>0</v>
      </c>
      <c r="H72" s="175">
        <f>+H66-H69</f>
        <v>0</v>
      </c>
    </row>
    <row r="73" spans="1:8" ht="12.75">
      <c r="A73" s="54"/>
      <c r="B73" s="54"/>
      <c r="C73" s="54"/>
      <c r="D73" s="54"/>
      <c r="E73" s="54"/>
      <c r="F73" s="54"/>
      <c r="G73" s="54"/>
      <c r="H73" s="54"/>
    </row>
    <row r="74" spans="1:8" ht="12.75">
      <c r="A74" s="54" t="s">
        <v>394</v>
      </c>
      <c r="B74" s="571"/>
      <c r="C74" s="54"/>
      <c r="D74" s="54"/>
      <c r="E74" s="54"/>
      <c r="F74" s="54"/>
      <c r="G74" s="54"/>
      <c r="H74" s="54"/>
    </row>
    <row r="75" spans="1:8" ht="12.75">
      <c r="A75" s="54" t="s">
        <v>503</v>
      </c>
      <c r="B75" s="573"/>
      <c r="C75" s="54"/>
      <c r="D75" s="54"/>
      <c r="E75" s="54"/>
      <c r="F75" s="54"/>
      <c r="G75" s="54"/>
      <c r="H75" s="54"/>
    </row>
    <row r="76" spans="1:8" ht="12.75">
      <c r="A76" s="54" t="s">
        <v>395</v>
      </c>
      <c r="B76" s="571"/>
      <c r="C76" s="54"/>
      <c r="D76" s="54"/>
      <c r="E76" s="54"/>
      <c r="F76" s="54"/>
      <c r="G76" s="54"/>
      <c r="H76" s="54"/>
    </row>
    <row r="77" spans="1:8" ht="12.75">
      <c r="A77" s="54"/>
      <c r="B77" s="54"/>
      <c r="C77" s="54"/>
      <c r="D77" s="54"/>
      <c r="E77" s="54"/>
      <c r="F77" s="54"/>
      <c r="G77" s="54"/>
      <c r="H77" s="54"/>
    </row>
    <row r="78" spans="1:8" ht="12.75">
      <c r="A78" s="185">
        <f>+G13</f>
        <v>2023</v>
      </c>
      <c r="B78" s="54"/>
      <c r="C78" s="54"/>
      <c r="D78" s="54"/>
      <c r="E78" s="54"/>
      <c r="F78" s="54"/>
      <c r="G78" s="54"/>
      <c r="H78" s="54"/>
    </row>
    <row r="79" spans="1:8" ht="12.75">
      <c r="A79" s="55" t="s">
        <v>396</v>
      </c>
      <c r="B79" s="71"/>
      <c r="C79" s="177"/>
      <c r="D79" s="183"/>
      <c r="E79" s="182"/>
      <c r="F79" s="183"/>
      <c r="G79" s="132">
        <f>+G18</f>
        <v>0</v>
      </c>
      <c r="H79" s="132">
        <f>+G85</f>
        <v>0</v>
      </c>
    </row>
    <row r="80" spans="1:8" ht="12.75">
      <c r="A80" s="55" t="s">
        <v>5</v>
      </c>
      <c r="B80" s="71"/>
      <c r="C80" s="179"/>
      <c r="D80" s="180"/>
      <c r="E80" s="180"/>
      <c r="F80" s="180"/>
      <c r="G80" s="173">
        <f>B75</f>
        <v>0</v>
      </c>
      <c r="H80" s="173">
        <f>B75</f>
        <v>0</v>
      </c>
    </row>
    <row r="81" spans="1:8" ht="12.75">
      <c r="A81" s="55" t="s">
        <v>6</v>
      </c>
      <c r="B81" s="71"/>
      <c r="C81" s="181"/>
      <c r="D81" s="182"/>
      <c r="E81" s="182"/>
      <c r="F81" s="182"/>
      <c r="G81" s="132">
        <f>+G79*G80</f>
        <v>0</v>
      </c>
      <c r="H81" s="175">
        <f>+H79*H80</f>
        <v>0</v>
      </c>
    </row>
    <row r="82" spans="1:8" ht="12.75">
      <c r="A82" s="55" t="s">
        <v>7</v>
      </c>
      <c r="B82" s="71"/>
      <c r="C82" s="181"/>
      <c r="D82" s="182"/>
      <c r="E82" s="182"/>
      <c r="F82" s="182"/>
      <c r="G82" s="132">
        <f>IF(B76&gt;=0,0,G79/B74)</f>
        <v>0</v>
      </c>
      <c r="H82" s="175">
        <f>IF(B76&gt;=1,0,IF(G85&lt;=0,0,$G$79/B74))</f>
        <v>0</v>
      </c>
    </row>
    <row r="83" spans="1:8" ht="12.75">
      <c r="A83" s="55" t="s">
        <v>234</v>
      </c>
      <c r="B83" s="71"/>
      <c r="C83" s="181"/>
      <c r="D83" s="182"/>
      <c r="E83" s="182"/>
      <c r="F83" s="182"/>
      <c r="G83" s="132">
        <f>+G81*0.04</f>
        <v>0</v>
      </c>
      <c r="H83" s="132">
        <f>+H81*0.04</f>
        <v>0</v>
      </c>
    </row>
    <row r="84" spans="1:8" ht="12.75">
      <c r="A84" s="55" t="s">
        <v>397</v>
      </c>
      <c r="B84" s="71"/>
      <c r="C84" s="181"/>
      <c r="D84" s="182"/>
      <c r="E84" s="182"/>
      <c r="F84" s="182"/>
      <c r="G84" s="132">
        <f>+G81+G82+G83</f>
        <v>0</v>
      </c>
      <c r="H84" s="175">
        <f>+H81+H82+H83</f>
        <v>0</v>
      </c>
    </row>
    <row r="85" spans="1:8" ht="12.75">
      <c r="A85" s="55" t="s">
        <v>398</v>
      </c>
      <c r="B85" s="71"/>
      <c r="C85" s="176"/>
      <c r="D85" s="182"/>
      <c r="E85" s="182"/>
      <c r="F85" s="182"/>
      <c r="G85" s="132">
        <f>+G79-G82</f>
        <v>0</v>
      </c>
      <c r="H85" s="132">
        <f>+H79-H82</f>
        <v>0</v>
      </c>
    </row>
    <row r="86" spans="1:8" ht="12.75">
      <c r="A86" s="54"/>
      <c r="B86" s="54"/>
      <c r="C86" s="54"/>
      <c r="D86" s="54"/>
      <c r="E86" s="54"/>
      <c r="F86" s="54"/>
      <c r="G86" s="54"/>
      <c r="H86" s="54"/>
    </row>
    <row r="87" spans="1:8" ht="12.75">
      <c r="A87" s="54" t="s">
        <v>394</v>
      </c>
      <c r="B87" s="571"/>
      <c r="C87" s="54"/>
      <c r="D87" s="54"/>
      <c r="E87" s="54"/>
      <c r="F87" s="54"/>
      <c r="G87" s="54"/>
      <c r="H87" s="54"/>
    </row>
    <row r="88" spans="1:8" ht="12.75">
      <c r="A88" s="54" t="s">
        <v>503</v>
      </c>
      <c r="B88" s="573"/>
      <c r="C88" s="54"/>
      <c r="D88" s="54"/>
      <c r="E88" s="54"/>
      <c r="F88" s="54"/>
      <c r="G88" s="54"/>
      <c r="H88" s="54"/>
    </row>
    <row r="89" spans="1:8" ht="12.75">
      <c r="A89" s="54" t="s">
        <v>395</v>
      </c>
      <c r="B89" s="571"/>
      <c r="C89" s="54"/>
      <c r="D89" s="54"/>
      <c r="E89" s="54"/>
      <c r="F89" s="54"/>
      <c r="G89" s="54"/>
      <c r="H89" s="54"/>
    </row>
    <row r="90" spans="1:8" ht="12.75">
      <c r="A90" s="54"/>
      <c r="B90" s="354"/>
      <c r="C90" s="54"/>
      <c r="D90" s="54"/>
      <c r="E90" s="54"/>
      <c r="F90" s="54"/>
      <c r="G90" s="54"/>
      <c r="H90" s="54"/>
    </row>
    <row r="91" spans="1:8" ht="12.75">
      <c r="A91" s="185">
        <f>+H13</f>
        <v>2024</v>
      </c>
      <c r="B91" s="54"/>
      <c r="C91" s="54"/>
      <c r="D91" s="54"/>
      <c r="E91" s="54"/>
      <c r="F91" s="54"/>
      <c r="G91" s="54"/>
      <c r="H91" s="54"/>
    </row>
    <row r="92" spans="1:8" ht="12.75">
      <c r="A92" s="55" t="s">
        <v>396</v>
      </c>
      <c r="B92" s="71"/>
      <c r="C92" s="177"/>
      <c r="D92" s="183"/>
      <c r="E92" s="183"/>
      <c r="F92" s="183"/>
      <c r="G92" s="183"/>
      <c r="H92" s="132">
        <f>+H18</f>
        <v>0</v>
      </c>
    </row>
    <row r="93" spans="1:8" ht="12.75">
      <c r="A93" s="55" t="s">
        <v>5</v>
      </c>
      <c r="B93" s="71"/>
      <c r="C93" s="179"/>
      <c r="D93" s="180"/>
      <c r="E93" s="180"/>
      <c r="F93" s="180"/>
      <c r="G93" s="180"/>
      <c r="H93" s="173">
        <f>B88</f>
        <v>0</v>
      </c>
    </row>
    <row r="94" spans="1:8" ht="12.75">
      <c r="A94" s="55" t="s">
        <v>6</v>
      </c>
      <c r="B94" s="71"/>
      <c r="C94" s="181"/>
      <c r="D94" s="182"/>
      <c r="E94" s="182"/>
      <c r="F94" s="182"/>
      <c r="G94" s="182"/>
      <c r="H94" s="132">
        <f>+H92*H93</f>
        <v>0</v>
      </c>
    </row>
    <row r="95" spans="1:8" ht="12.75">
      <c r="A95" s="55" t="s">
        <v>7</v>
      </c>
      <c r="B95" s="71"/>
      <c r="C95" s="181"/>
      <c r="D95" s="182"/>
      <c r="E95" s="182"/>
      <c r="F95" s="182"/>
      <c r="G95" s="182"/>
      <c r="H95" s="132">
        <f>IF(B89&gt;=0,0,H92/B87)</f>
        <v>0</v>
      </c>
    </row>
    <row r="96" spans="1:8" ht="12.75">
      <c r="A96" s="55" t="s">
        <v>234</v>
      </c>
      <c r="B96" s="71"/>
      <c r="C96" s="181"/>
      <c r="D96" s="182"/>
      <c r="E96" s="182"/>
      <c r="F96" s="182"/>
      <c r="G96" s="182"/>
      <c r="H96" s="132">
        <f>+H94*0.04</f>
        <v>0</v>
      </c>
    </row>
    <row r="97" spans="1:8" ht="12.75">
      <c r="A97" s="55" t="s">
        <v>397</v>
      </c>
      <c r="B97" s="71"/>
      <c r="C97" s="181"/>
      <c r="D97" s="182"/>
      <c r="E97" s="182"/>
      <c r="F97" s="182"/>
      <c r="G97" s="182"/>
      <c r="H97" s="132">
        <f>+H94+H95+H96</f>
        <v>0</v>
      </c>
    </row>
    <row r="98" spans="1:8" ht="12.75">
      <c r="A98" s="55" t="s">
        <v>398</v>
      </c>
      <c r="B98" s="71"/>
      <c r="C98" s="176"/>
      <c r="D98" s="182"/>
      <c r="E98" s="182"/>
      <c r="F98" s="182"/>
      <c r="G98" s="182"/>
      <c r="H98" s="132">
        <f>+H92-H95</f>
        <v>0</v>
      </c>
    </row>
    <row r="99" spans="1:8" ht="12.75">
      <c r="A99" s="54"/>
      <c r="B99" s="54"/>
      <c r="C99" s="54"/>
      <c r="D99" s="54"/>
      <c r="E99" s="54"/>
      <c r="F99" s="54"/>
      <c r="G99" s="54"/>
      <c r="H99" s="54"/>
    </row>
    <row r="100" spans="1:8" ht="12.75">
      <c r="A100" s="54"/>
      <c r="B100" s="54"/>
      <c r="C100" s="54"/>
      <c r="D100" s="184"/>
      <c r="E100" s="54"/>
      <c r="F100" s="54"/>
      <c r="G100" s="54"/>
      <c r="H100" s="54"/>
    </row>
    <row r="101" spans="1:8" ht="12.75">
      <c r="A101" s="126" t="s">
        <v>400</v>
      </c>
      <c r="B101" s="85"/>
      <c r="C101" s="93">
        <f aca="true" t="shared" si="7" ref="C101:H101">+C33+C46+C59+C72+C85+C98</f>
        <v>0</v>
      </c>
      <c r="D101" s="93">
        <f t="shared" si="7"/>
        <v>0</v>
      </c>
      <c r="E101" s="93">
        <f t="shared" si="7"/>
        <v>0</v>
      </c>
      <c r="F101" s="93">
        <f t="shared" si="7"/>
        <v>0</v>
      </c>
      <c r="G101" s="93">
        <f t="shared" si="7"/>
        <v>0</v>
      </c>
      <c r="H101" s="93">
        <f t="shared" si="7"/>
        <v>0</v>
      </c>
    </row>
    <row r="102" spans="1:8" ht="12.75">
      <c r="A102" s="54"/>
      <c r="B102" s="54"/>
      <c r="C102" s="54"/>
      <c r="D102" s="54"/>
      <c r="E102" s="54"/>
      <c r="F102" s="54"/>
      <c r="G102" s="54"/>
      <c r="H102" s="54"/>
    </row>
    <row r="103" spans="1:8" ht="12.75">
      <c r="A103" s="126" t="s">
        <v>401</v>
      </c>
      <c r="B103" s="85"/>
      <c r="C103" s="93">
        <f aca="true" t="shared" si="8" ref="C103:H103">+C29+C42+C55+C68+C81+C94+C31+C44+C57+C70+C83+C96</f>
        <v>0</v>
      </c>
      <c r="D103" s="93">
        <f t="shared" si="8"/>
        <v>0</v>
      </c>
      <c r="E103" s="93">
        <f t="shared" si="8"/>
        <v>0</v>
      </c>
      <c r="F103" s="93">
        <f t="shared" si="8"/>
        <v>0</v>
      </c>
      <c r="G103" s="93">
        <f t="shared" si="8"/>
        <v>0</v>
      </c>
      <c r="H103" s="93">
        <f t="shared" si="8"/>
        <v>0</v>
      </c>
    </row>
    <row r="104" spans="1:8" ht="12.75">
      <c r="A104" s="126" t="s">
        <v>80</v>
      </c>
      <c r="B104" s="85"/>
      <c r="C104" s="93">
        <f aca="true" t="shared" si="9" ref="C104:H104">+C30+C43+C56+C69+C82+C95</f>
        <v>0</v>
      </c>
      <c r="D104" s="93">
        <f t="shared" si="9"/>
        <v>0</v>
      </c>
      <c r="E104" s="93">
        <f t="shared" si="9"/>
        <v>0</v>
      </c>
      <c r="F104" s="93">
        <f t="shared" si="9"/>
        <v>0</v>
      </c>
      <c r="G104" s="93">
        <f t="shared" si="9"/>
        <v>0</v>
      </c>
      <c r="H104" s="93">
        <f t="shared" si="9"/>
        <v>0</v>
      </c>
    </row>
    <row r="106" spans="5:8" ht="12.75">
      <c r="E106" s="143"/>
      <c r="F106" s="143"/>
      <c r="G106" s="143"/>
      <c r="H106" s="143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zoomScalePageLayoutView="0" workbookViewId="0" topLeftCell="A1">
      <selection activeCell="B20" sqref="B20"/>
    </sheetView>
  </sheetViews>
  <sheetFormatPr defaultColWidth="8.7109375" defaultRowHeight="12.75"/>
  <cols>
    <col min="1" max="1" width="53.7109375" style="62" customWidth="1"/>
    <col min="2" max="6" width="11.421875" style="62" customWidth="1"/>
    <col min="7" max="7" width="11.8515625" style="62" customWidth="1"/>
    <col min="8" max="16384" width="8.7109375" style="62" customWidth="1"/>
  </cols>
  <sheetData>
    <row r="1" spans="1:7" ht="12.75">
      <c r="A1" s="54"/>
      <c r="B1" s="54"/>
      <c r="C1" s="80"/>
      <c r="D1" s="46"/>
      <c r="E1" s="46"/>
      <c r="F1" s="460" t="s">
        <v>44</v>
      </c>
      <c r="G1" s="460" t="str">
        <f>+Pressupostos!E1</f>
        <v>XFCP Lda</v>
      </c>
    </row>
    <row r="2" spans="1:7" ht="12.75">
      <c r="A2" s="54"/>
      <c r="B2" s="54"/>
      <c r="C2" s="54"/>
      <c r="D2" s="54"/>
      <c r="E2" s="54"/>
      <c r="F2" s="54"/>
      <c r="G2" s="49" t="str">
        <f>+Pressupostos!B9</f>
        <v>Euros</v>
      </c>
    </row>
    <row r="3" spans="1:7" ht="12.75">
      <c r="A3" s="54"/>
      <c r="B3" s="54"/>
      <c r="C3" s="54"/>
      <c r="D3" s="54"/>
      <c r="E3" s="54"/>
      <c r="F3" s="54"/>
      <c r="G3" s="49"/>
    </row>
    <row r="4" spans="1:7" ht="15.75">
      <c r="A4" s="613" t="s">
        <v>208</v>
      </c>
      <c r="B4" s="613"/>
      <c r="C4" s="613"/>
      <c r="D4" s="613"/>
      <c r="E4" s="613"/>
      <c r="F4" s="613"/>
      <c r="G4" s="613"/>
    </row>
    <row r="5" spans="1:7" ht="12.75">
      <c r="A5" s="54"/>
      <c r="B5" s="125"/>
      <c r="C5" s="54"/>
      <c r="D5" s="54"/>
      <c r="E5" s="54"/>
      <c r="F5" s="54"/>
      <c r="G5" s="54"/>
    </row>
    <row r="6" spans="1:7" ht="12.75">
      <c r="A6" s="54"/>
      <c r="B6" s="186"/>
      <c r="C6" s="54"/>
      <c r="D6" s="54"/>
      <c r="E6" s="54"/>
      <c r="F6" s="54"/>
      <c r="G6" s="54"/>
    </row>
    <row r="7" spans="1:7" ht="12.75">
      <c r="A7" s="117"/>
      <c r="B7" s="51">
        <f>+VN!C8</f>
        <v>2019</v>
      </c>
      <c r="C7" s="51">
        <f>+VN!D8</f>
        <v>2020</v>
      </c>
      <c r="D7" s="51">
        <f>+VN!E8</f>
        <v>2021</v>
      </c>
      <c r="E7" s="51">
        <f>+VN!F8</f>
        <v>2022</v>
      </c>
      <c r="F7" s="51">
        <f>+VN!G8</f>
        <v>2023</v>
      </c>
      <c r="G7" s="51">
        <f>+VN!H8</f>
        <v>2024</v>
      </c>
    </row>
    <row r="8" spans="1:7" ht="12.75">
      <c r="A8" s="105" t="str">
        <f>'DR'!A8</f>
        <v>Vendas e Serviços Prestados</v>
      </c>
      <c r="B8" s="344">
        <f>'DR'!B8</f>
        <v>0</v>
      </c>
      <c r="C8" s="344">
        <f>'DR'!C8</f>
        <v>0</v>
      </c>
      <c r="D8" s="344">
        <f>'DR'!D8</f>
        <v>0</v>
      </c>
      <c r="E8" s="344">
        <f>'DR'!E8</f>
        <v>0</v>
      </c>
      <c r="F8" s="344">
        <f>'DR'!F8</f>
        <v>0</v>
      </c>
      <c r="G8" s="344">
        <f>'DR'!G8</f>
        <v>0</v>
      </c>
    </row>
    <row r="9" spans="1:7" ht="12.75">
      <c r="A9" s="117" t="str">
        <f>'DR'!A11</f>
        <v>Variação nos Inventários da Produção</v>
      </c>
      <c r="B9" s="344">
        <f>'DR'!B11</f>
        <v>0</v>
      </c>
      <c r="C9" s="344">
        <f>'DR'!C11</f>
        <v>0</v>
      </c>
      <c r="D9" s="344">
        <f>'DR'!D11</f>
        <v>0</v>
      </c>
      <c r="E9" s="344">
        <f>'DR'!E11</f>
        <v>0</v>
      </c>
      <c r="F9" s="344">
        <f>'DR'!F11</f>
        <v>0</v>
      </c>
      <c r="G9" s="344">
        <f>'DR'!G11</f>
        <v>0</v>
      </c>
    </row>
    <row r="10" spans="1:7" ht="12.75">
      <c r="A10" s="117" t="s">
        <v>15</v>
      </c>
      <c r="B10" s="344">
        <f>'DR'!B13</f>
        <v>0</v>
      </c>
      <c r="C10" s="344">
        <f>'DR'!C13</f>
        <v>0</v>
      </c>
      <c r="D10" s="344">
        <f>'DR'!D13</f>
        <v>0</v>
      </c>
      <c r="E10" s="344">
        <f>'DR'!E13</f>
        <v>0</v>
      </c>
      <c r="F10" s="344">
        <f>'DR'!F13</f>
        <v>0</v>
      </c>
      <c r="G10" s="344">
        <f>'DR'!G13</f>
        <v>0</v>
      </c>
    </row>
    <row r="11" spans="1:7" ht="12.75">
      <c r="A11" s="117" t="s">
        <v>206</v>
      </c>
      <c r="B11" s="344">
        <f>FSE!F47</f>
        <v>0</v>
      </c>
      <c r="C11" s="344">
        <f>FSE!G47</f>
        <v>0</v>
      </c>
      <c r="D11" s="344">
        <f>FSE!H47</f>
        <v>0</v>
      </c>
      <c r="E11" s="344">
        <f>FSE!I47</f>
        <v>0</v>
      </c>
      <c r="F11" s="344">
        <f>FSE!J47</f>
        <v>0</v>
      </c>
      <c r="G11" s="344">
        <f>FSE!K47</f>
        <v>0</v>
      </c>
    </row>
    <row r="12" spans="1:7" ht="12.75">
      <c r="A12" s="342" t="s">
        <v>205</v>
      </c>
      <c r="B12" s="345">
        <f aca="true" t="shared" si="0" ref="B12:G12">B8+B9-B10-B11</f>
        <v>0</v>
      </c>
      <c r="C12" s="345">
        <f t="shared" si="0"/>
        <v>0</v>
      </c>
      <c r="D12" s="345">
        <f t="shared" si="0"/>
        <v>0</v>
      </c>
      <c r="E12" s="345">
        <f t="shared" si="0"/>
        <v>0</v>
      </c>
      <c r="F12" s="345">
        <f t="shared" si="0"/>
        <v>0</v>
      </c>
      <c r="G12" s="345">
        <f t="shared" si="0"/>
        <v>0</v>
      </c>
    </row>
    <row r="13" spans="1:7" ht="12.75">
      <c r="A13" s="343" t="s">
        <v>207</v>
      </c>
      <c r="B13" s="392">
        <f>IF(B8&gt;0,(FSE!F45+'DR'!B15+'DR'!B24+'DR'!B25+'DR'!B18)/(B12/'Ponto Crítico'!B8),"")</f>
      </c>
      <c r="C13" s="392">
        <f>IF(C8&gt;0,(FSE!G45+'DR'!C15+'DR'!C24+'DR'!C25+'DR'!C18)/(C12/'Ponto Crítico'!C8),"")</f>
      </c>
      <c r="D13" s="392">
        <f>IF(D8&gt;0,(FSE!H45+'DR'!D15+'DR'!D24+'DR'!D25+'DR'!D18)/(D12/'Ponto Crítico'!D8),"")</f>
      </c>
      <c r="E13" s="392">
        <f>IF(E8&gt;0,(FSE!I45+'DR'!E15+'DR'!E24+'DR'!E25+'DR'!E18)/(E12/'Ponto Crítico'!E8),"")</f>
      </c>
      <c r="F13" s="392">
        <f>IF(F8&gt;0,(FSE!J45+'DR'!F15+'DR'!F24+'DR'!F25+'DR'!F18)/(F12/'Ponto Crítico'!F8),"")</f>
      </c>
      <c r="G13" s="392">
        <f>IF(G8&gt;0,(FSE!K45+'DR'!G15+'DR'!G24+'DR'!G25+'DR'!G18)/(G12/'Ponto Crítico'!G8),"")</f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zoomScalePageLayoutView="0" workbookViewId="0" topLeftCell="A1">
      <selection activeCell="E27" sqref="E27"/>
    </sheetView>
  </sheetViews>
  <sheetFormatPr defaultColWidth="8.7109375" defaultRowHeight="12.75"/>
  <cols>
    <col min="1" max="1" width="53.7109375" style="62" customWidth="1"/>
    <col min="2" max="6" width="11.421875" style="62" customWidth="1"/>
    <col min="7" max="7" width="11.8515625" style="62" customWidth="1"/>
    <col min="8" max="16384" width="8.7109375" style="62" customWidth="1"/>
  </cols>
  <sheetData>
    <row r="1" spans="1:7" ht="12.75">
      <c r="A1" s="54"/>
      <c r="B1" s="54"/>
      <c r="C1" s="80"/>
      <c r="D1" s="46"/>
      <c r="E1" s="46"/>
      <c r="F1" s="460" t="s">
        <v>44</v>
      </c>
      <c r="G1" s="460" t="str">
        <f>+Pressupostos!E1</f>
        <v>XFCP Lda</v>
      </c>
    </row>
    <row r="2" spans="1:7" ht="12.75">
      <c r="A2" s="54"/>
      <c r="B2" s="54"/>
      <c r="C2" s="54"/>
      <c r="D2" s="54"/>
      <c r="E2" s="54"/>
      <c r="F2" s="54"/>
      <c r="G2" s="49" t="str">
        <f>+Pressupostos!B9</f>
        <v>Euros</v>
      </c>
    </row>
    <row r="3" spans="1:7" ht="12.75">
      <c r="A3" s="54"/>
      <c r="B3" s="54"/>
      <c r="C3" s="54"/>
      <c r="D3" s="54"/>
      <c r="E3" s="54"/>
      <c r="F3" s="54"/>
      <c r="G3" s="49"/>
    </row>
    <row r="4" spans="1:7" ht="15.75">
      <c r="A4" s="613" t="s">
        <v>38</v>
      </c>
      <c r="B4" s="613"/>
      <c r="C4" s="613"/>
      <c r="D4" s="613"/>
      <c r="E4" s="613"/>
      <c r="F4" s="613"/>
      <c r="G4" s="613"/>
    </row>
    <row r="5" spans="1:7" ht="12.75">
      <c r="A5" s="54"/>
      <c r="B5" s="125"/>
      <c r="C5" s="54"/>
      <c r="D5" s="54"/>
      <c r="E5" s="54"/>
      <c r="F5" s="54"/>
      <c r="G5" s="54"/>
    </row>
    <row r="6" spans="1:7" ht="12.75">
      <c r="A6" s="54"/>
      <c r="B6" s="186"/>
      <c r="C6" s="54"/>
      <c r="D6" s="54"/>
      <c r="E6" s="54"/>
      <c r="F6" s="54"/>
      <c r="G6" s="54"/>
    </row>
    <row r="7" spans="1:7" ht="12.75">
      <c r="A7" s="117"/>
      <c r="B7" s="51">
        <f>+VN!C8</f>
        <v>2019</v>
      </c>
      <c r="C7" s="51">
        <f>+VN!D8</f>
        <v>2020</v>
      </c>
      <c r="D7" s="51">
        <f>+VN!E8</f>
        <v>2021</v>
      </c>
      <c r="E7" s="51">
        <f>+VN!F8</f>
        <v>2022</v>
      </c>
      <c r="F7" s="51">
        <f>+VN!G8</f>
        <v>2023</v>
      </c>
      <c r="G7" s="51">
        <f>+VN!H8</f>
        <v>2024</v>
      </c>
    </row>
    <row r="8" spans="1:7" ht="12.75">
      <c r="A8" s="117" t="s">
        <v>402</v>
      </c>
      <c r="B8" s="187">
        <f>+VN!C80</f>
        <v>0</v>
      </c>
      <c r="C8" s="187">
        <f>+VN!D80</f>
        <v>0</v>
      </c>
      <c r="D8" s="187">
        <f>+VN!E80</f>
        <v>0</v>
      </c>
      <c r="E8" s="187">
        <f>+VN!F80</f>
        <v>0</v>
      </c>
      <c r="F8" s="187">
        <f>+VN!G80</f>
        <v>0</v>
      </c>
      <c r="G8" s="187">
        <f>+VN!H80</f>
        <v>0</v>
      </c>
    </row>
    <row r="9" spans="1:7" ht="12.75">
      <c r="A9" s="117" t="s">
        <v>150</v>
      </c>
      <c r="B9" s="3"/>
      <c r="C9" s="3"/>
      <c r="D9" s="3"/>
      <c r="E9" s="3"/>
      <c r="F9" s="3"/>
      <c r="G9" s="3"/>
    </row>
    <row r="10" spans="1:7" ht="12.75">
      <c r="A10" s="95" t="s">
        <v>403</v>
      </c>
      <c r="B10" s="3"/>
      <c r="C10" s="3"/>
      <c r="D10" s="3"/>
      <c r="E10" s="3"/>
      <c r="F10" s="3"/>
      <c r="G10" s="3"/>
    </row>
    <row r="11" spans="1:7" ht="12.75">
      <c r="A11" s="117" t="s">
        <v>404</v>
      </c>
      <c r="B11" s="3"/>
      <c r="C11" s="3"/>
      <c r="D11" s="3"/>
      <c r="E11" s="3"/>
      <c r="F11" s="3"/>
      <c r="G11" s="3"/>
    </row>
    <row r="12" spans="1:7" ht="12.75">
      <c r="A12" s="117" t="s">
        <v>405</v>
      </c>
      <c r="B12" s="3"/>
      <c r="C12" s="3"/>
      <c r="D12" s="3"/>
      <c r="E12" s="3"/>
      <c r="F12" s="3"/>
      <c r="G12" s="3"/>
    </row>
    <row r="13" spans="1:7" ht="12.75">
      <c r="A13" s="117" t="s">
        <v>15</v>
      </c>
      <c r="B13" s="187">
        <f>+CMVMC!C16</f>
        <v>0</v>
      </c>
      <c r="C13" s="187">
        <f>+CMVMC!D16</f>
        <v>0</v>
      </c>
      <c r="D13" s="187">
        <f>+CMVMC!E16</f>
        <v>0</v>
      </c>
      <c r="E13" s="187">
        <f>+CMVMC!F16</f>
        <v>0</v>
      </c>
      <c r="F13" s="187">
        <f>+CMVMC!G16</f>
        <v>0</v>
      </c>
      <c r="G13" s="187">
        <f>+CMVMC!H16</f>
        <v>0</v>
      </c>
    </row>
    <row r="14" spans="1:7" ht="12.75">
      <c r="A14" s="117" t="s">
        <v>406</v>
      </c>
      <c r="B14" s="187">
        <f>+FSE!F43</f>
        <v>0</v>
      </c>
      <c r="C14" s="187">
        <f>+FSE!G43</f>
        <v>0</v>
      </c>
      <c r="D14" s="187">
        <f>+FSE!H43</f>
        <v>0</v>
      </c>
      <c r="E14" s="187">
        <f>+FSE!I43</f>
        <v>0</v>
      </c>
      <c r="F14" s="187">
        <f>+FSE!J43</f>
        <v>0</v>
      </c>
      <c r="G14" s="187">
        <f>+FSE!K43</f>
        <v>0</v>
      </c>
    </row>
    <row r="15" spans="1:7" ht="12.75">
      <c r="A15" s="117" t="s">
        <v>142</v>
      </c>
      <c r="B15" s="187">
        <f>+'Gastos com Pessoal'!D94</f>
        <v>0</v>
      </c>
      <c r="C15" s="187">
        <f>+'Gastos com Pessoal'!E94</f>
        <v>0</v>
      </c>
      <c r="D15" s="187">
        <f>+'Gastos com Pessoal'!F94</f>
        <v>0</v>
      </c>
      <c r="E15" s="187">
        <f>+'Gastos com Pessoal'!G94</f>
        <v>0</v>
      </c>
      <c r="F15" s="187">
        <f>+'Gastos com Pessoal'!H94</f>
        <v>0</v>
      </c>
      <c r="G15" s="187">
        <f>+'Gastos com Pessoal'!I94</f>
        <v>0</v>
      </c>
    </row>
    <row r="16" spans="1:7" ht="12.75">
      <c r="A16" s="117" t="s">
        <v>407</v>
      </c>
      <c r="B16" s="3"/>
      <c r="C16" s="3"/>
      <c r="D16" s="3"/>
      <c r="E16" s="3"/>
      <c r="F16" s="3"/>
      <c r="G16" s="3"/>
    </row>
    <row r="17" spans="1:7" ht="12.75">
      <c r="A17" s="117" t="s">
        <v>408</v>
      </c>
      <c r="B17" s="187">
        <f>+VN!C87</f>
        <v>0</v>
      </c>
      <c r="C17" s="187">
        <f>+VN!D87</f>
        <v>0</v>
      </c>
      <c r="D17" s="187">
        <f>+VN!E87</f>
        <v>0</v>
      </c>
      <c r="E17" s="187">
        <f>+VN!F87</f>
        <v>0</v>
      </c>
      <c r="F17" s="187">
        <f>+VN!G87</f>
        <v>0</v>
      </c>
      <c r="G17" s="187">
        <f>+VN!H87</f>
        <v>0</v>
      </c>
    </row>
    <row r="18" spans="1:7" ht="12.75">
      <c r="A18" s="117" t="s">
        <v>409</v>
      </c>
      <c r="B18" s="3"/>
      <c r="C18" s="3"/>
      <c r="D18" s="3"/>
      <c r="E18" s="3"/>
      <c r="F18" s="3"/>
      <c r="G18" s="3"/>
    </row>
    <row r="19" spans="1:7" ht="12.75">
      <c r="A19" s="117" t="s">
        <v>410</v>
      </c>
      <c r="B19" s="3"/>
      <c r="C19" s="3"/>
      <c r="D19" s="3"/>
      <c r="E19" s="3"/>
      <c r="F19" s="3"/>
      <c r="G19" s="3"/>
    </row>
    <row r="20" spans="1:7" ht="12.75">
      <c r="A20" s="117" t="s">
        <v>411</v>
      </c>
      <c r="B20" s="3"/>
      <c r="C20" s="3"/>
      <c r="D20" s="3"/>
      <c r="E20" s="3"/>
      <c r="F20" s="3"/>
      <c r="G20" s="3"/>
    </row>
    <row r="21" spans="1:7" ht="12.75">
      <c r="A21" s="117" t="s">
        <v>412</v>
      </c>
      <c r="B21" s="3"/>
      <c r="C21" s="3"/>
      <c r="D21" s="3"/>
      <c r="E21" s="3"/>
      <c r="F21" s="3"/>
      <c r="G21" s="3"/>
    </row>
    <row r="22" spans="1:7" ht="12.75">
      <c r="A22" s="117" t="s">
        <v>413</v>
      </c>
      <c r="B22" s="3"/>
      <c r="C22" s="3"/>
      <c r="D22" s="3"/>
      <c r="E22" s="3"/>
      <c r="F22" s="3"/>
      <c r="G22" s="3"/>
    </row>
    <row r="23" spans="1:7" ht="13.5" thickBot="1">
      <c r="A23" s="188" t="s">
        <v>414</v>
      </c>
      <c r="B23" s="34">
        <f aca="true" t="shared" si="0" ref="B23:G23">+B8+B9+B10+B11+B12-B13-B14-B15-B16-B17-B18-B19-B20+B21-B22</f>
        <v>0</v>
      </c>
      <c r="C23" s="34">
        <f t="shared" si="0"/>
        <v>0</v>
      </c>
      <c r="D23" s="34">
        <f t="shared" si="0"/>
        <v>0</v>
      </c>
      <c r="E23" s="34">
        <f t="shared" si="0"/>
        <v>0</v>
      </c>
      <c r="F23" s="34">
        <f t="shared" si="0"/>
        <v>0</v>
      </c>
      <c r="G23" s="34">
        <f t="shared" si="0"/>
        <v>0</v>
      </c>
    </row>
    <row r="24" spans="1:7" ht="13.5" thickTop="1">
      <c r="A24" s="117" t="s">
        <v>415</v>
      </c>
      <c r="B24" s="187">
        <f>+Investimento!C168</f>
        <v>0</v>
      </c>
      <c r="C24" s="187">
        <f>+Investimento!D168</f>
        <v>0</v>
      </c>
      <c r="D24" s="187">
        <f>+Investimento!E168</f>
        <v>0</v>
      </c>
      <c r="E24" s="187">
        <f>+Investimento!F168</f>
        <v>0</v>
      </c>
      <c r="F24" s="187">
        <f>+Investimento!G168</f>
        <v>0</v>
      </c>
      <c r="G24" s="187">
        <f>+Investimento!H168</f>
        <v>0</v>
      </c>
    </row>
    <row r="25" spans="1:7" ht="12.75">
      <c r="A25" s="117" t="s">
        <v>416</v>
      </c>
      <c r="B25" s="3"/>
      <c r="C25" s="3"/>
      <c r="D25" s="3"/>
      <c r="E25" s="3"/>
      <c r="F25" s="3"/>
      <c r="G25" s="3"/>
    </row>
    <row r="26" spans="1:7" ht="13.5" thickBot="1">
      <c r="A26" s="188" t="s">
        <v>151</v>
      </c>
      <c r="B26" s="34">
        <f aca="true" t="shared" si="1" ref="B26:G26">+B23-B24-B25</f>
        <v>0</v>
      </c>
      <c r="C26" s="34">
        <f t="shared" si="1"/>
        <v>0</v>
      </c>
      <c r="D26" s="34">
        <f t="shared" si="1"/>
        <v>0</v>
      </c>
      <c r="E26" s="34">
        <f t="shared" si="1"/>
        <v>0</v>
      </c>
      <c r="F26" s="34">
        <f t="shared" si="1"/>
        <v>0</v>
      </c>
      <c r="G26" s="34">
        <f t="shared" si="1"/>
        <v>0</v>
      </c>
    </row>
    <row r="27" spans="1:7" ht="13.5" thickTop="1">
      <c r="A27" s="117" t="s">
        <v>417</v>
      </c>
      <c r="B27" s="187">
        <f>+IF(PlanoFinanceiro!C29&gt;0,PlanoFinanceiro!C29*Pressupostos!$B$31,0)</f>
        <v>0</v>
      </c>
      <c r="C27" s="187">
        <f>+IF(PlanoFinanceiro!D29&gt;0,PlanoFinanceiro!D29*Pressupostos!$B$31,0)</f>
        <v>0</v>
      </c>
      <c r="D27" s="187">
        <f>+IF(PlanoFinanceiro!E29&gt;0,PlanoFinanceiro!E29*Pressupostos!$B$31,0)</f>
        <v>0</v>
      </c>
      <c r="E27" s="187">
        <f>+IF(PlanoFinanceiro!F29&gt;0,PlanoFinanceiro!F29*Pressupostos!$B$31,0)</f>
        <v>3.637978807091713E-14</v>
      </c>
      <c r="F27" s="187">
        <f>+IF(PlanoFinanceiro!G29&gt;0,PlanoFinanceiro!G29*Pressupostos!$B$31,0)</f>
        <v>3.637978807091713E-14</v>
      </c>
      <c r="G27" s="187">
        <f>+IF(PlanoFinanceiro!H29&gt;0,PlanoFinanceiro!H29*Pressupostos!$B$31,0)</f>
        <v>7.275957614183426E-14</v>
      </c>
    </row>
    <row r="28" spans="1:7" ht="12.75">
      <c r="A28" s="117" t="s">
        <v>418</v>
      </c>
      <c r="B28" s="187">
        <f>Financiamento!C103+IF(PlanoFinanceiro!C29&lt;0,-PlanoFinanceiro!C29*Pressupostos!$B$32,0)</f>
        <v>0</v>
      </c>
      <c r="C28" s="187">
        <f>Financiamento!D103+IF(PlanoFinanceiro!D29&lt;0,-PlanoFinanceiro!D29*Pressupostos!$B$32,0)</f>
        <v>0</v>
      </c>
      <c r="D28" s="187">
        <f>Financiamento!E103+IF(PlanoFinanceiro!E29&lt;0,-PlanoFinanceiro!E29*Pressupostos!$B$32,0)</f>
        <v>0</v>
      </c>
      <c r="E28" s="187">
        <f>Financiamento!F103+IF(PlanoFinanceiro!F29&lt;0,-PlanoFinanceiro!F29*Pressupostos!$B$32,0)</f>
        <v>0</v>
      </c>
      <c r="F28" s="187">
        <f>Financiamento!G103+IF(PlanoFinanceiro!G29&lt;0,-PlanoFinanceiro!G29*Pressupostos!$B$32,0)</f>
        <v>0</v>
      </c>
      <c r="G28" s="187">
        <f>Financiamento!H103+IF(PlanoFinanceiro!H29&lt;0,-PlanoFinanceiro!H29*Pressupostos!$B$32,0)</f>
        <v>0</v>
      </c>
    </row>
    <row r="29" spans="1:7" ht="13.5" thickBot="1">
      <c r="A29" s="188" t="s">
        <v>152</v>
      </c>
      <c r="B29" s="34">
        <f aca="true" t="shared" si="2" ref="B29:G29">+B26+B27-B28</f>
        <v>0</v>
      </c>
      <c r="C29" s="34">
        <f t="shared" si="2"/>
        <v>0</v>
      </c>
      <c r="D29" s="34">
        <f t="shared" si="2"/>
        <v>0</v>
      </c>
      <c r="E29" s="34">
        <f t="shared" si="2"/>
        <v>3.637978807091713E-14</v>
      </c>
      <c r="F29" s="34">
        <f t="shared" si="2"/>
        <v>3.637978807091713E-14</v>
      </c>
      <c r="G29" s="34">
        <f t="shared" si="2"/>
        <v>7.275957614183426E-14</v>
      </c>
    </row>
    <row r="30" spans="1:7" ht="13.5" thickTop="1">
      <c r="A30" s="117" t="s">
        <v>419</v>
      </c>
      <c r="B30" s="187">
        <f>IF(B29&gt;0,B29*Pressupostos!$B$29,0)</f>
        <v>0</v>
      </c>
      <c r="C30" s="187">
        <f>IF(C29+C32&lt;0,0,(C29+C32)*Pressupostos!$B$29)</f>
        <v>0</v>
      </c>
      <c r="D30" s="187">
        <f>IF(D29+D32&lt;0,0,(D29+D32)*Pressupostos!$B$29)</f>
        <v>0</v>
      </c>
      <c r="E30" s="187">
        <f>IF(E29+E32&lt;0,0,(E29+E32)*Pressupostos!$B$29)</f>
        <v>7.639755494892597E-15</v>
      </c>
      <c r="F30" s="187">
        <f>IF(F29+F32&lt;0,0,(F29+F32)*Pressupostos!$B$29)</f>
        <v>7.639755494892597E-15</v>
      </c>
      <c r="G30" s="187">
        <f>IF(G29+G32&lt;0,0,(G29+G32)*Pressupostos!$B$29)</f>
        <v>1.5279510989785193E-14</v>
      </c>
    </row>
    <row r="31" spans="1:7" ht="13.5" thickBot="1">
      <c r="A31" s="188" t="s">
        <v>149</v>
      </c>
      <c r="B31" s="34">
        <f aca="true" t="shared" si="3" ref="B31:G31">+B29-B30</f>
        <v>0</v>
      </c>
      <c r="C31" s="34">
        <f t="shared" si="3"/>
        <v>0</v>
      </c>
      <c r="D31" s="34">
        <f t="shared" si="3"/>
        <v>0</v>
      </c>
      <c r="E31" s="34">
        <f t="shared" si="3"/>
        <v>2.8740032576024535E-14</v>
      </c>
      <c r="F31" s="34">
        <f t="shared" si="3"/>
        <v>2.8740032576024535E-14</v>
      </c>
      <c r="G31" s="34">
        <f t="shared" si="3"/>
        <v>5.748006515204907E-14</v>
      </c>
    </row>
    <row r="32" spans="1:7" ht="13.5" thickTop="1">
      <c r="A32" s="120"/>
      <c r="B32" s="497"/>
      <c r="C32" s="497">
        <f>IF(B31&lt;0,B31,0)</f>
        <v>0</v>
      </c>
      <c r="D32" s="497">
        <f>IF(C31+C32&lt;0,C31+C32,0)</f>
        <v>0</v>
      </c>
      <c r="E32" s="497">
        <f>IF(D31+D32&lt;0,D31+D32,0)</f>
        <v>0</v>
      </c>
      <c r="F32" s="497">
        <f>IF(E31+E32&lt;0,E31+E32,0)</f>
        <v>0</v>
      </c>
      <c r="G32" s="497">
        <f>IF(F31+F32&lt;0,F31+F32,0)</f>
        <v>0</v>
      </c>
    </row>
    <row r="33" spans="2:7" ht="12.75">
      <c r="B33" s="189"/>
      <c r="C33" s="189"/>
      <c r="D33" s="189"/>
      <c r="E33" s="189"/>
      <c r="F33" s="189"/>
      <c r="G33" s="189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zoomScalePageLayoutView="0" workbookViewId="0" topLeftCell="A1">
      <selection activeCell="I38" sqref="I38"/>
    </sheetView>
  </sheetViews>
  <sheetFormatPr defaultColWidth="8.7109375" defaultRowHeight="12.75"/>
  <cols>
    <col min="1" max="1" width="30.8515625" style="191" customWidth="1"/>
    <col min="2" max="2" width="7.57421875" style="191" customWidth="1"/>
    <col min="3" max="13" width="11.421875" style="191" customWidth="1"/>
    <col min="14" max="16384" width="8.7109375" style="191" customWidth="1"/>
  </cols>
  <sheetData>
    <row r="1" spans="1:8" ht="12.75">
      <c r="A1" s="190"/>
      <c r="B1" s="190"/>
      <c r="C1" s="124"/>
      <c r="D1" s="124"/>
      <c r="E1" s="124"/>
      <c r="F1" s="124"/>
      <c r="G1" s="475" t="s">
        <v>44</v>
      </c>
      <c r="H1" s="481" t="str">
        <f>+Pressupostos!E1</f>
        <v>XFCP Lda</v>
      </c>
    </row>
    <row r="2" spans="1:8" ht="12.75">
      <c r="A2" s="54"/>
      <c r="B2" s="54"/>
      <c r="C2" s="54"/>
      <c r="D2" s="54"/>
      <c r="E2" s="54"/>
      <c r="F2" s="54"/>
      <c r="G2" s="54"/>
      <c r="H2" s="49" t="str">
        <f>+Pressupostos!B9</f>
        <v>Euros</v>
      </c>
    </row>
    <row r="3" spans="1:8" ht="12.75">
      <c r="A3" s="54"/>
      <c r="B3" s="54"/>
      <c r="C3" s="54"/>
      <c r="D3" s="54"/>
      <c r="E3" s="54"/>
      <c r="F3" s="54"/>
      <c r="G3" s="54"/>
      <c r="H3" s="49"/>
    </row>
    <row r="4" spans="1:8" ht="13.5" customHeight="1">
      <c r="A4" s="613" t="s">
        <v>40</v>
      </c>
      <c r="B4" s="613"/>
      <c r="C4" s="613"/>
      <c r="D4" s="613"/>
      <c r="E4" s="613"/>
      <c r="F4" s="613"/>
      <c r="G4" s="613"/>
      <c r="H4" s="613"/>
    </row>
    <row r="5" spans="1:8" ht="12.75" customHeight="1">
      <c r="A5" s="54"/>
      <c r="B5" s="125"/>
      <c r="C5" s="125"/>
      <c r="D5" s="54"/>
      <c r="E5" s="54"/>
      <c r="F5" s="54"/>
      <c r="G5" s="54"/>
      <c r="H5" s="54"/>
    </row>
    <row r="6" spans="1:8" ht="12.75">
      <c r="A6" s="54"/>
      <c r="B6" s="116"/>
      <c r="C6" s="125"/>
      <c r="D6" s="54"/>
      <c r="E6" s="54"/>
      <c r="F6" s="54"/>
      <c r="G6" s="54"/>
      <c r="H6" s="54"/>
    </row>
    <row r="7" spans="1:8" ht="12.75">
      <c r="A7" s="117"/>
      <c r="B7" s="110"/>
      <c r="C7" s="51">
        <f>+VN!C8</f>
        <v>2019</v>
      </c>
      <c r="D7" s="51">
        <f>+VN!D8</f>
        <v>2020</v>
      </c>
      <c r="E7" s="51">
        <f>+VN!E8</f>
        <v>2021</v>
      </c>
      <c r="F7" s="51">
        <f>+VN!F8</f>
        <v>2022</v>
      </c>
      <c r="G7" s="51">
        <f>+VN!G8</f>
        <v>2023</v>
      </c>
      <c r="H7" s="51">
        <f>+VN!H8</f>
        <v>2024</v>
      </c>
    </row>
    <row r="8" spans="1:8" ht="12.75">
      <c r="A8" s="63" t="s">
        <v>277</v>
      </c>
      <c r="B8" s="110"/>
      <c r="C8" s="51"/>
      <c r="D8" s="51"/>
      <c r="E8" s="51"/>
      <c r="F8" s="51"/>
      <c r="G8" s="51"/>
      <c r="H8" s="51"/>
    </row>
    <row r="9" spans="1:8" ht="12.75">
      <c r="A9" s="192" t="s">
        <v>100</v>
      </c>
      <c r="B9" s="193"/>
      <c r="C9" s="93">
        <f>+'DR'!B26*(1-Pressupostos!$B$29)</f>
        <v>0</v>
      </c>
      <c r="D9" s="93">
        <f>+'DR'!C26*(1-Pressupostos!$B$29)</f>
        <v>0</v>
      </c>
      <c r="E9" s="93">
        <f>+'DR'!D26*(1-Pressupostos!$B$29)</f>
        <v>0</v>
      </c>
      <c r="F9" s="93">
        <f>+'DR'!E26*(1-Pressupostos!$B$29)</f>
        <v>0</v>
      </c>
      <c r="G9" s="93">
        <f>+'DR'!F26*(1-Pressupostos!$B$29)</f>
        <v>0</v>
      </c>
      <c r="H9" s="93">
        <f>+'DR'!G26*(1-Pressupostos!$B$29)</f>
        <v>0</v>
      </c>
    </row>
    <row r="10" spans="1:8" ht="12.75">
      <c r="A10" s="55" t="s">
        <v>420</v>
      </c>
      <c r="B10" s="193"/>
      <c r="C10" s="93">
        <f>+'DR'!B24</f>
        <v>0</v>
      </c>
      <c r="D10" s="93">
        <f>+'DR'!C24</f>
        <v>0</v>
      </c>
      <c r="E10" s="93">
        <f>+'DR'!D24</f>
        <v>0</v>
      </c>
      <c r="F10" s="93">
        <f>+'DR'!E24</f>
        <v>0</v>
      </c>
      <c r="G10" s="93">
        <f>+'DR'!F24</f>
        <v>0</v>
      </c>
      <c r="H10" s="93">
        <f>+'DR'!G24</f>
        <v>0</v>
      </c>
    </row>
    <row r="11" spans="1:8" ht="12.75">
      <c r="A11" s="55" t="s">
        <v>421</v>
      </c>
      <c r="B11" s="193"/>
      <c r="C11" s="93">
        <f>+'DR'!B25</f>
        <v>0</v>
      </c>
      <c r="D11" s="93">
        <f>+'DR'!C25</f>
        <v>0</v>
      </c>
      <c r="E11" s="93">
        <f>+'DR'!D25</f>
        <v>0</v>
      </c>
      <c r="F11" s="93">
        <f>+'DR'!E25</f>
        <v>0</v>
      </c>
      <c r="G11" s="93">
        <f>+'DR'!F25</f>
        <v>0</v>
      </c>
      <c r="H11" s="93">
        <f>+'DR'!G25</f>
        <v>0</v>
      </c>
    </row>
    <row r="12" spans="1:8" ht="13.5" thickBot="1">
      <c r="A12" s="55"/>
      <c r="B12" s="106"/>
      <c r="C12" s="133">
        <f aca="true" t="shared" si="0" ref="C12:H12">SUM(C9:C11)</f>
        <v>0</v>
      </c>
      <c r="D12" s="133">
        <f t="shared" si="0"/>
        <v>0</v>
      </c>
      <c r="E12" s="133">
        <f t="shared" si="0"/>
        <v>0</v>
      </c>
      <c r="F12" s="133">
        <f t="shared" si="0"/>
        <v>0</v>
      </c>
      <c r="G12" s="133">
        <f t="shared" si="0"/>
        <v>0</v>
      </c>
      <c r="H12" s="133">
        <f t="shared" si="0"/>
        <v>0</v>
      </c>
    </row>
    <row r="13" spans="1:8" ht="13.5" thickTop="1">
      <c r="A13" s="63" t="s">
        <v>101</v>
      </c>
      <c r="B13" s="194"/>
      <c r="C13" s="195"/>
      <c r="D13" s="195"/>
      <c r="E13" s="195"/>
      <c r="F13" s="195"/>
      <c r="G13" s="195"/>
      <c r="H13" s="195"/>
    </row>
    <row r="14" spans="1:8" ht="12.75">
      <c r="A14" s="192" t="s">
        <v>59</v>
      </c>
      <c r="B14" s="196"/>
      <c r="C14" s="93">
        <f>-FundoManeio!C24</f>
        <v>0</v>
      </c>
      <c r="D14" s="93">
        <f>-FundoManeio!D24</f>
        <v>0</v>
      </c>
      <c r="E14" s="93">
        <f>-FundoManeio!E24</f>
        <v>0</v>
      </c>
      <c r="F14" s="93">
        <f>-FundoManeio!F24</f>
        <v>0</v>
      </c>
      <c r="G14" s="93">
        <f>-FundoManeio!G24</f>
        <v>0</v>
      </c>
      <c r="H14" s="93">
        <f>-FundoManeio!H24</f>
        <v>0</v>
      </c>
    </row>
    <row r="15" spans="1:8" ht="10.5">
      <c r="A15" s="197"/>
      <c r="B15" s="197"/>
      <c r="C15" s="197"/>
      <c r="D15" s="197"/>
      <c r="E15" s="197"/>
      <c r="F15" s="197"/>
      <c r="G15" s="197"/>
      <c r="H15" s="197"/>
    </row>
    <row r="16" spans="1:8" ht="13.5" thickBot="1">
      <c r="A16" s="137" t="s">
        <v>62</v>
      </c>
      <c r="B16" s="198"/>
      <c r="C16" s="133">
        <f aca="true" t="shared" si="1" ref="C16:H16">+SUM(C12:C14)</f>
        <v>0</v>
      </c>
      <c r="D16" s="133">
        <f t="shared" si="1"/>
        <v>0</v>
      </c>
      <c r="E16" s="133">
        <f t="shared" si="1"/>
        <v>0</v>
      </c>
      <c r="F16" s="133">
        <f t="shared" si="1"/>
        <v>0</v>
      </c>
      <c r="G16" s="133">
        <f t="shared" si="1"/>
        <v>0</v>
      </c>
      <c r="H16" s="133">
        <f t="shared" si="1"/>
        <v>0</v>
      </c>
    </row>
    <row r="17" spans="1:8" ht="13.5" thickTop="1">
      <c r="A17" s="199"/>
      <c r="B17" s="200"/>
      <c r="C17" s="201"/>
      <c r="D17" s="201"/>
      <c r="E17" s="201"/>
      <c r="F17" s="201"/>
      <c r="G17" s="201"/>
      <c r="H17" s="201"/>
    </row>
    <row r="18" spans="1:8" ht="12.75">
      <c r="A18" s="63" t="s">
        <v>102</v>
      </c>
      <c r="B18" s="194"/>
      <c r="C18" s="195"/>
      <c r="D18" s="195"/>
      <c r="E18" s="195"/>
      <c r="F18" s="195"/>
      <c r="G18" s="195"/>
      <c r="H18" s="195"/>
    </row>
    <row r="19" spans="1:8" ht="12.75">
      <c r="A19" s="55" t="s">
        <v>60</v>
      </c>
      <c r="B19" s="193"/>
      <c r="C19" s="93">
        <f>-Investimento!C29</f>
        <v>0</v>
      </c>
      <c r="D19" s="93">
        <f>-Investimento!D29</f>
        <v>0</v>
      </c>
      <c r="E19" s="93">
        <f>-Investimento!E29</f>
        <v>0</v>
      </c>
      <c r="F19" s="93">
        <f>-Investimento!F29</f>
        <v>0</v>
      </c>
      <c r="G19" s="93">
        <f>-Investimento!G29</f>
        <v>0</v>
      </c>
      <c r="H19" s="93">
        <f>-Investimento!H29</f>
        <v>0</v>
      </c>
    </row>
    <row r="20" spans="1:8" ht="12.75">
      <c r="A20" s="125"/>
      <c r="B20" s="200"/>
      <c r="C20" s="201"/>
      <c r="D20" s="201"/>
      <c r="E20" s="201"/>
      <c r="F20" s="201"/>
      <c r="G20" s="201"/>
      <c r="H20" s="201"/>
    </row>
    <row r="21" spans="1:8" ht="13.5" thickBot="1">
      <c r="A21" s="137" t="s">
        <v>422</v>
      </c>
      <c r="B21" s="198"/>
      <c r="C21" s="133">
        <f aca="true" t="shared" si="2" ref="C21:H21">+C12+C14+C19</f>
        <v>0</v>
      </c>
      <c r="D21" s="133">
        <f t="shared" si="2"/>
        <v>0</v>
      </c>
      <c r="E21" s="133">
        <f t="shared" si="2"/>
        <v>0</v>
      </c>
      <c r="F21" s="133">
        <f t="shared" si="2"/>
        <v>0</v>
      </c>
      <c r="G21" s="133">
        <f t="shared" si="2"/>
        <v>0</v>
      </c>
      <c r="H21" s="133">
        <f t="shared" si="2"/>
        <v>0</v>
      </c>
    </row>
    <row r="22" spans="1:8" ht="13.5" thickTop="1">
      <c r="A22" s="199"/>
      <c r="B22" s="200"/>
      <c r="C22" s="201"/>
      <c r="D22" s="201"/>
      <c r="E22" s="201"/>
      <c r="F22" s="201"/>
      <c r="G22" s="201"/>
      <c r="H22" s="201"/>
    </row>
    <row r="23" spans="1:8" ht="13.5" thickBot="1">
      <c r="A23" s="137" t="s">
        <v>423</v>
      </c>
      <c r="B23" s="198"/>
      <c r="C23" s="133">
        <f>+SUM(C21)</f>
        <v>0</v>
      </c>
      <c r="D23" s="133">
        <f>+SUM($C$21:D21)</f>
        <v>0</v>
      </c>
      <c r="E23" s="133">
        <f>+SUM($C$21:E21)</f>
        <v>0</v>
      </c>
      <c r="F23" s="133">
        <f>+SUM($C$21:F21)</f>
        <v>0</v>
      </c>
      <c r="G23" s="133">
        <f>+SUM($C$21:G21)</f>
        <v>0</v>
      </c>
      <c r="H23" s="133">
        <f>+SUM($C$21:H21)</f>
        <v>0</v>
      </c>
    </row>
    <row r="24" spans="1:8" ht="13.5" thickTop="1">
      <c r="A24" s="69"/>
      <c r="B24" s="202"/>
      <c r="C24" s="203"/>
      <c r="D24" s="203"/>
      <c r="E24" s="203"/>
      <c r="F24" s="203"/>
      <c r="G24" s="203"/>
      <c r="H24" s="203"/>
    </row>
    <row r="25" spans="1:9" ht="12.75">
      <c r="A25" s="204"/>
      <c r="B25" s="205"/>
      <c r="C25" s="206"/>
      <c r="D25" s="206"/>
      <c r="E25" s="206"/>
      <c r="F25" s="206"/>
      <c r="G25" s="206"/>
      <c r="H25" s="206"/>
      <c r="I25" s="207"/>
    </row>
    <row r="26" spans="1:8" ht="12.75">
      <c r="A26" s="208"/>
      <c r="B26" s="205"/>
      <c r="C26" s="203"/>
      <c r="D26" s="203"/>
      <c r="E26" s="203"/>
      <c r="F26" s="203"/>
      <c r="G26" s="203"/>
      <c r="H26" s="203"/>
    </row>
    <row r="27" spans="1:8" ht="12.75">
      <c r="A27" s="208"/>
      <c r="B27" s="205"/>
      <c r="C27" s="203"/>
      <c r="D27" s="203"/>
      <c r="E27" s="203"/>
      <c r="F27" s="203"/>
      <c r="G27" s="203"/>
      <c r="H27" s="203"/>
    </row>
    <row r="28" spans="1:8" ht="12.75">
      <c r="A28" s="208"/>
      <c r="B28" s="205"/>
      <c r="C28" s="203"/>
      <c r="D28" s="203"/>
      <c r="E28" s="203"/>
      <c r="F28" s="203"/>
      <c r="G28" s="203"/>
      <c r="H28" s="203"/>
    </row>
    <row r="29" spans="1:8" ht="12.75">
      <c r="A29" s="208"/>
      <c r="B29" s="205"/>
      <c r="C29" s="203"/>
      <c r="D29" s="203"/>
      <c r="E29" s="203"/>
      <c r="F29" s="203"/>
      <c r="G29" s="203"/>
      <c r="H29" s="203"/>
    </row>
    <row r="30" spans="1:8" ht="12.75">
      <c r="A30" s="208"/>
      <c r="B30" s="205"/>
      <c r="C30" s="203"/>
      <c r="D30" s="203"/>
      <c r="E30" s="203"/>
      <c r="F30" s="203"/>
      <c r="G30" s="203"/>
      <c r="H30" s="203"/>
    </row>
    <row r="31" spans="1:8" ht="12.75">
      <c r="A31" s="208"/>
      <c r="B31" s="205"/>
      <c r="C31" s="203"/>
      <c r="D31" s="203"/>
      <c r="E31" s="203"/>
      <c r="F31" s="203"/>
      <c r="G31" s="203"/>
      <c r="H31" s="203"/>
    </row>
    <row r="32" spans="1:8" ht="12.75">
      <c r="A32" s="208"/>
      <c r="B32" s="205"/>
      <c r="C32" s="203"/>
      <c r="D32" s="203"/>
      <c r="E32" s="203"/>
      <c r="F32" s="203"/>
      <c r="G32" s="203"/>
      <c r="H32" s="203"/>
    </row>
    <row r="33" spans="1:8" ht="12.75">
      <c r="A33" s="208"/>
      <c r="B33" s="205"/>
      <c r="C33" s="203"/>
      <c r="D33" s="203"/>
      <c r="E33" s="203"/>
      <c r="F33" s="203"/>
      <c r="G33" s="203"/>
      <c r="H33" s="203"/>
    </row>
    <row r="34" spans="1:8" ht="12.75">
      <c r="A34" s="208"/>
      <c r="B34" s="205"/>
      <c r="C34" s="203"/>
      <c r="D34" s="203"/>
      <c r="E34" s="203"/>
      <c r="F34" s="203"/>
      <c r="G34" s="203"/>
      <c r="H34" s="203"/>
    </row>
    <row r="35" spans="1:8" ht="12.75">
      <c r="A35" s="208"/>
      <c r="B35" s="205"/>
      <c r="C35" s="203"/>
      <c r="D35" s="203"/>
      <c r="E35" s="203"/>
      <c r="F35" s="203"/>
      <c r="G35" s="203"/>
      <c r="H35" s="203"/>
    </row>
    <row r="36" spans="1:8" ht="12.75">
      <c r="A36" s="204"/>
      <c r="B36" s="205"/>
      <c r="C36" s="206"/>
      <c r="D36" s="206"/>
      <c r="E36" s="206"/>
      <c r="F36" s="206"/>
      <c r="G36" s="206"/>
      <c r="H36" s="206"/>
    </row>
    <row r="37" spans="1:8" ht="12.75">
      <c r="A37" s="209"/>
      <c r="B37" s="205"/>
      <c r="C37" s="210"/>
      <c r="D37" s="69"/>
      <c r="E37" s="69"/>
      <c r="F37" s="69"/>
      <c r="G37" s="69"/>
      <c r="H37" s="69"/>
    </row>
    <row r="38" spans="1:8" ht="12.75">
      <c r="A38" s="62"/>
      <c r="B38" s="62"/>
      <c r="C38" s="69"/>
      <c r="D38" s="69"/>
      <c r="E38" s="69"/>
      <c r="F38" s="69"/>
      <c r="G38" s="69"/>
      <c r="H38" s="69"/>
    </row>
    <row r="39" spans="3:8" ht="10.5">
      <c r="C39" s="211"/>
      <c r="D39" s="211"/>
      <c r="E39" s="211"/>
      <c r="F39" s="211"/>
      <c r="G39" s="211"/>
      <c r="H39" s="211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zoomScalePageLayoutView="0" workbookViewId="0" topLeftCell="A1">
      <selection activeCell="F15" sqref="F15"/>
    </sheetView>
  </sheetViews>
  <sheetFormatPr defaultColWidth="8.7109375" defaultRowHeight="12.75"/>
  <cols>
    <col min="1" max="1" width="30.57421875" style="62" customWidth="1"/>
    <col min="2" max="2" width="3.140625" style="62" customWidth="1"/>
    <col min="3" max="3" width="13.57421875" style="62" customWidth="1"/>
    <col min="4" max="4" width="12.140625" style="62" customWidth="1"/>
    <col min="5" max="8" width="11.7109375" style="62" customWidth="1"/>
    <col min="9" max="16384" width="8.7109375" style="62" customWidth="1"/>
  </cols>
  <sheetData>
    <row r="1" spans="1:8" ht="12.75">
      <c r="A1" s="54"/>
      <c r="B1" s="54"/>
      <c r="C1" s="46"/>
      <c r="D1" s="46"/>
      <c r="E1" s="46"/>
      <c r="F1" s="46"/>
      <c r="G1" s="445" t="s">
        <v>44</v>
      </c>
      <c r="H1" s="460" t="str">
        <f>+Pressupostos!E1</f>
        <v>XFCP Lda</v>
      </c>
    </row>
    <row r="2" spans="1:8" ht="12.75">
      <c r="A2" s="54"/>
      <c r="B2" s="54"/>
      <c r="C2" s="54"/>
      <c r="D2" s="54"/>
      <c r="E2" s="54"/>
      <c r="F2" s="54"/>
      <c r="G2" s="54"/>
      <c r="H2" s="49" t="str">
        <f>+Pressupostos!B9</f>
        <v>Euros</v>
      </c>
    </row>
    <row r="3" spans="1:8" ht="12.75">
      <c r="A3" s="54"/>
      <c r="B3" s="54"/>
      <c r="C3" s="54"/>
      <c r="D3" s="54"/>
      <c r="E3" s="54"/>
      <c r="F3" s="54"/>
      <c r="G3" s="54"/>
      <c r="H3" s="49"/>
    </row>
    <row r="4" spans="1:8" ht="15.75">
      <c r="A4" s="613" t="s">
        <v>104</v>
      </c>
      <c r="B4" s="613"/>
      <c r="C4" s="613"/>
      <c r="D4" s="613"/>
      <c r="E4" s="613"/>
      <c r="F4" s="613"/>
      <c r="G4" s="613"/>
      <c r="H4" s="613"/>
    </row>
    <row r="5" spans="1:8" ht="12.75">
      <c r="A5" s="54"/>
      <c r="B5" s="54"/>
      <c r="C5" s="54"/>
      <c r="D5" s="54"/>
      <c r="E5" s="54"/>
      <c r="F5" s="54"/>
      <c r="G5" s="54"/>
      <c r="H5" s="54"/>
    </row>
    <row r="6" spans="1:8" ht="12.75">
      <c r="A6" s="54"/>
      <c r="B6" s="54"/>
      <c r="C6" s="54"/>
      <c r="D6" s="54"/>
      <c r="E6" s="54"/>
      <c r="F6" s="54"/>
      <c r="G6" s="54"/>
      <c r="H6" s="54"/>
    </row>
    <row r="7" spans="1:8" ht="12.75">
      <c r="A7" s="52"/>
      <c r="B7" s="71"/>
      <c r="C7" s="51">
        <f>+VN!C8</f>
        <v>2019</v>
      </c>
      <c r="D7" s="51">
        <f>+VN!D8</f>
        <v>2020</v>
      </c>
      <c r="E7" s="51">
        <f>+VN!E8</f>
        <v>2021</v>
      </c>
      <c r="F7" s="51">
        <f>+VN!F8</f>
        <v>2022</v>
      </c>
      <c r="G7" s="51">
        <f>+VN!G8</f>
        <v>2023</v>
      </c>
      <c r="H7" s="51">
        <f>+VN!H8</f>
        <v>2024</v>
      </c>
    </row>
    <row r="8" spans="1:8" ht="12.75">
      <c r="A8" s="670" t="s">
        <v>73</v>
      </c>
      <c r="B8" s="671"/>
      <c r="C8" s="93"/>
      <c r="D8" s="93"/>
      <c r="E8" s="93"/>
      <c r="F8" s="93"/>
      <c r="G8" s="93"/>
      <c r="H8" s="93"/>
    </row>
    <row r="9" spans="1:8" ht="12.75">
      <c r="A9" s="104" t="s">
        <v>64</v>
      </c>
      <c r="B9" s="85"/>
      <c r="C9" s="212">
        <f>+'DR'!B26+'DR'!B24+'DR'!B25+'DR'!B17</f>
        <v>0</v>
      </c>
      <c r="D9" s="212">
        <f>+'DR'!C26+'DR'!C24+'DR'!C25+'DR'!C17</f>
        <v>0</v>
      </c>
      <c r="E9" s="212">
        <f>+'DR'!D26+'DR'!D24+'DR'!D25+'DR'!D17</f>
        <v>0</v>
      </c>
      <c r="F9" s="212">
        <f>+'DR'!E26+'DR'!E24+'DR'!E25+'DR'!E17</f>
        <v>0</v>
      </c>
      <c r="G9" s="212">
        <f>+'DR'!F26+'DR'!F24+'DR'!F25+'DR'!F17</f>
        <v>0</v>
      </c>
      <c r="H9" s="212">
        <f>+'DR'!G26+'DR'!G24+'DR'!G25+'DR'!G17</f>
        <v>0</v>
      </c>
    </row>
    <row r="10" spans="1:8" ht="12.75">
      <c r="A10" s="104" t="s">
        <v>424</v>
      </c>
      <c r="B10" s="85"/>
      <c r="C10" s="212">
        <f>+Financiamento!C15</f>
        <v>0</v>
      </c>
      <c r="D10" s="212">
        <f>+Financiamento!D15</f>
        <v>0</v>
      </c>
      <c r="E10" s="212">
        <f>+Financiamento!E15</f>
        <v>0</v>
      </c>
      <c r="F10" s="212">
        <f>+Financiamento!F15</f>
        <v>0</v>
      </c>
      <c r="G10" s="212">
        <f>+Financiamento!G15</f>
        <v>0</v>
      </c>
      <c r="H10" s="212">
        <f>+Financiamento!H15</f>
        <v>0</v>
      </c>
    </row>
    <row r="11" spans="1:8" ht="12.75">
      <c r="A11" s="104" t="s">
        <v>278</v>
      </c>
      <c r="B11" s="85"/>
      <c r="C11" s="212">
        <f>+Financiamento!C16+Financiamento!C17+Financiamento!C19</f>
        <v>0</v>
      </c>
      <c r="D11" s="212">
        <f>+Financiamento!D16+Financiamento!D17+Financiamento!D19</f>
        <v>0</v>
      </c>
      <c r="E11" s="212">
        <f>+Financiamento!E16+Financiamento!E17+Financiamento!E19</f>
        <v>0</v>
      </c>
      <c r="F11" s="212">
        <f>+Financiamento!F16+Financiamento!F17+Financiamento!F19</f>
        <v>0</v>
      </c>
      <c r="G11" s="212">
        <f>+Financiamento!G16+Financiamento!G17+Financiamento!G19</f>
        <v>0</v>
      </c>
      <c r="H11" s="212">
        <f>+Financiamento!H16+Financiamento!H17+Financiamento!H19</f>
        <v>0</v>
      </c>
    </row>
    <row r="12" spans="1:8" ht="12.75">
      <c r="A12" s="104" t="s">
        <v>107</v>
      </c>
      <c r="B12" s="85"/>
      <c r="C12" s="212">
        <f>+Financiamento!C18</f>
        <v>0</v>
      </c>
      <c r="D12" s="212">
        <f>+Financiamento!D18</f>
        <v>0</v>
      </c>
      <c r="E12" s="212">
        <f>+Financiamento!E18</f>
        <v>0</v>
      </c>
      <c r="F12" s="212">
        <f>+Financiamento!F18</f>
        <v>0</v>
      </c>
      <c r="G12" s="212">
        <f>+Financiamento!G18</f>
        <v>0</v>
      </c>
      <c r="H12" s="212">
        <f>+Financiamento!H18</f>
        <v>0</v>
      </c>
    </row>
    <row r="13" spans="1:8" ht="12.75">
      <c r="A13" s="104" t="s">
        <v>65</v>
      </c>
      <c r="B13" s="85"/>
      <c r="C13" s="212"/>
      <c r="D13" s="212"/>
      <c r="E13" s="212"/>
      <c r="F13" s="212"/>
      <c r="G13" s="212"/>
      <c r="H13" s="212"/>
    </row>
    <row r="14" spans="1:8" ht="12.75">
      <c r="A14" s="104" t="s">
        <v>66</v>
      </c>
      <c r="B14" s="85"/>
      <c r="C14" s="212">
        <f>+IF(FundoManeio!C24&lt;0,-FundoManeio!C24,0)</f>
        <v>0</v>
      </c>
      <c r="D14" s="212">
        <f>+IF(FundoManeio!D24&lt;0,-FundoManeio!D24,0)</f>
        <v>0</v>
      </c>
      <c r="E14" s="212">
        <f>+IF(FundoManeio!E24&lt;0,-FundoManeio!E24,0)</f>
        <v>0</v>
      </c>
      <c r="F14" s="212">
        <f>+IF(FundoManeio!F24&lt;0,-FundoManeio!F24,0)</f>
        <v>0</v>
      </c>
      <c r="G14" s="212">
        <f>+IF(FundoManeio!G24&lt;0,-FundoManeio!G24,0)</f>
        <v>0</v>
      </c>
      <c r="H14" s="212">
        <f>+IF(FundoManeio!H24&lt;0,-FundoManeio!H24,0)</f>
        <v>0</v>
      </c>
    </row>
    <row r="15" spans="1:8" ht="12.75">
      <c r="A15" s="104" t="s">
        <v>32</v>
      </c>
      <c r="B15" s="85"/>
      <c r="C15" s="212">
        <f>+'DR'!B27</f>
        <v>0</v>
      </c>
      <c r="D15" s="212">
        <f>+'DR'!C27</f>
        <v>0</v>
      </c>
      <c r="E15" s="212">
        <f>+'DR'!D27</f>
        <v>0</v>
      </c>
      <c r="F15" s="212">
        <f>+'DR'!E27</f>
        <v>3.637978807091713E-14</v>
      </c>
      <c r="G15" s="212">
        <f>+'DR'!F27</f>
        <v>3.637978807091713E-14</v>
      </c>
      <c r="H15" s="212">
        <f>+'DR'!G27</f>
        <v>7.275957614183426E-14</v>
      </c>
    </row>
    <row r="16" spans="1:8" ht="12.75">
      <c r="A16" s="664"/>
      <c r="B16" s="665"/>
      <c r="C16" s="213"/>
      <c r="D16" s="213"/>
      <c r="E16" s="213"/>
      <c r="F16" s="213"/>
      <c r="G16" s="213"/>
      <c r="H16" s="213"/>
    </row>
    <row r="17" spans="1:8" ht="12.75">
      <c r="A17" s="668" t="s">
        <v>67</v>
      </c>
      <c r="B17" s="669"/>
      <c r="C17" s="214">
        <f aca="true" t="shared" si="0" ref="C17:H17">+SUM(C9:C16)</f>
        <v>0</v>
      </c>
      <c r="D17" s="214">
        <f t="shared" si="0"/>
        <v>0</v>
      </c>
      <c r="E17" s="214">
        <f t="shared" si="0"/>
        <v>0</v>
      </c>
      <c r="F17" s="214">
        <f t="shared" si="0"/>
        <v>3.637978807091713E-14</v>
      </c>
      <c r="G17" s="214">
        <f t="shared" si="0"/>
        <v>3.637978807091713E-14</v>
      </c>
      <c r="H17" s="214">
        <f t="shared" si="0"/>
        <v>7.275957614183426E-14</v>
      </c>
    </row>
    <row r="18" spans="1:8" ht="14.25" customHeight="1">
      <c r="A18" s="670" t="s">
        <v>74</v>
      </c>
      <c r="B18" s="671"/>
      <c r="C18" s="215"/>
      <c r="D18" s="215"/>
      <c r="E18" s="215"/>
      <c r="F18" s="215"/>
      <c r="G18" s="215"/>
      <c r="H18" s="215"/>
    </row>
    <row r="19" spans="1:8" ht="12.75">
      <c r="A19" s="104" t="s">
        <v>68</v>
      </c>
      <c r="B19" s="71"/>
      <c r="C19" s="212">
        <f>+Investimento!C29</f>
        <v>0</v>
      </c>
      <c r="D19" s="212">
        <f>+Investimento!D29</f>
        <v>0</v>
      </c>
      <c r="E19" s="212">
        <f>+Investimento!E29</f>
        <v>0</v>
      </c>
      <c r="F19" s="212">
        <f>+Investimento!F29</f>
        <v>0</v>
      </c>
      <c r="G19" s="212">
        <f>+Investimento!G29</f>
        <v>0</v>
      </c>
      <c r="H19" s="212">
        <f>+Investimento!H29</f>
        <v>0</v>
      </c>
    </row>
    <row r="20" spans="1:8" ht="12.75">
      <c r="A20" s="104" t="s">
        <v>279</v>
      </c>
      <c r="B20" s="71"/>
      <c r="C20" s="212">
        <f>+IF(FundoManeio!C24&gt;0,FundoManeio!C24,0)</f>
        <v>0</v>
      </c>
      <c r="D20" s="212">
        <f>+IF(FundoManeio!D24&gt;0,FundoManeio!D24,0)</f>
        <v>0</v>
      </c>
      <c r="E20" s="212">
        <f>+IF(FundoManeio!E24&gt;0,FundoManeio!E24,0)</f>
        <v>0</v>
      </c>
      <c r="F20" s="212">
        <f>+IF(FundoManeio!F24&gt;0,FundoManeio!F24,0)</f>
        <v>0</v>
      </c>
      <c r="G20" s="212">
        <f>+IF(FundoManeio!G24&gt;0,FundoManeio!G24,0)</f>
        <v>0</v>
      </c>
      <c r="H20" s="212">
        <f>+IF(FundoManeio!H24&gt;0,FundoManeio!H24,0)</f>
        <v>0</v>
      </c>
    </row>
    <row r="21" spans="1:8" ht="12.75">
      <c r="A21" s="104" t="s">
        <v>105</v>
      </c>
      <c r="B21" s="71"/>
      <c r="C21" s="212"/>
      <c r="D21" s="212">
        <f>+'DR'!B30</f>
        <v>0</v>
      </c>
      <c r="E21" s="212">
        <f>+'DR'!C30</f>
        <v>0</v>
      </c>
      <c r="F21" s="212">
        <f>+'DR'!D30</f>
        <v>0</v>
      </c>
      <c r="G21" s="212">
        <f>+'DR'!E30</f>
        <v>7.639755494892597E-15</v>
      </c>
      <c r="H21" s="212">
        <f>+'DR'!F30</f>
        <v>7.639755494892597E-15</v>
      </c>
    </row>
    <row r="22" spans="1:8" ht="12.75">
      <c r="A22" s="104" t="s">
        <v>106</v>
      </c>
      <c r="B22" s="71"/>
      <c r="C22" s="482"/>
      <c r="D22" s="482"/>
      <c r="E22" s="482"/>
      <c r="F22" s="482"/>
      <c r="G22" s="482"/>
      <c r="H22" s="482"/>
    </row>
    <row r="23" spans="1:8" ht="12.75">
      <c r="A23" s="104" t="s">
        <v>69</v>
      </c>
      <c r="B23" s="71"/>
      <c r="C23" s="212">
        <f>+Financiamento!C104</f>
        <v>0</v>
      </c>
      <c r="D23" s="212">
        <f>+Financiamento!D104</f>
        <v>0</v>
      </c>
      <c r="E23" s="212">
        <f>+Financiamento!E104</f>
        <v>0</v>
      </c>
      <c r="F23" s="212">
        <f>+Financiamento!F104</f>
        <v>0</v>
      </c>
      <c r="G23" s="212">
        <f>+Financiamento!G104</f>
        <v>0</v>
      </c>
      <c r="H23" s="212">
        <f>+Financiamento!H104</f>
        <v>0</v>
      </c>
    </row>
    <row r="24" spans="1:8" ht="12.75">
      <c r="A24" s="104" t="s">
        <v>70</v>
      </c>
      <c r="B24" s="71"/>
      <c r="C24" s="212">
        <f>+'DR'!B28</f>
        <v>0</v>
      </c>
      <c r="D24" s="212">
        <f>+'DR'!C28</f>
        <v>0</v>
      </c>
      <c r="E24" s="212">
        <f>+'DR'!D28</f>
        <v>0</v>
      </c>
      <c r="F24" s="212">
        <f>+'DR'!E28</f>
        <v>0</v>
      </c>
      <c r="G24" s="212">
        <f>+'DR'!F28</f>
        <v>0</v>
      </c>
      <c r="H24" s="212">
        <f>+'DR'!G28</f>
        <v>0</v>
      </c>
    </row>
    <row r="25" spans="1:8" ht="12.75">
      <c r="A25" s="664"/>
      <c r="B25" s="665"/>
      <c r="C25" s="212"/>
      <c r="D25" s="212"/>
      <c r="E25" s="212"/>
      <c r="F25" s="212"/>
      <c r="G25" s="212"/>
      <c r="H25" s="212"/>
    </row>
    <row r="26" spans="1:8" ht="12.75">
      <c r="A26" s="668" t="s">
        <v>71</v>
      </c>
      <c r="B26" s="669"/>
      <c r="C26" s="214">
        <f aca="true" t="shared" si="1" ref="C26:H26">+SUM(C19:C25)</f>
        <v>0</v>
      </c>
      <c r="D26" s="214">
        <f t="shared" si="1"/>
        <v>0</v>
      </c>
      <c r="E26" s="214">
        <f t="shared" si="1"/>
        <v>0</v>
      </c>
      <c r="F26" s="214">
        <f t="shared" si="1"/>
        <v>0</v>
      </c>
      <c r="G26" s="214">
        <f t="shared" si="1"/>
        <v>7.639755494892597E-15</v>
      </c>
      <c r="H26" s="214">
        <f t="shared" si="1"/>
        <v>7.639755494892597E-15</v>
      </c>
    </row>
    <row r="27" spans="1:8" ht="12.75">
      <c r="A27" s="666" t="s">
        <v>72</v>
      </c>
      <c r="B27" s="667"/>
      <c r="C27" s="214">
        <f aca="true" t="shared" si="2" ref="C27:H27">+C17-C26</f>
        <v>0</v>
      </c>
      <c r="D27" s="214">
        <f t="shared" si="2"/>
        <v>0</v>
      </c>
      <c r="E27" s="214">
        <f t="shared" si="2"/>
        <v>0</v>
      </c>
      <c r="F27" s="214">
        <f t="shared" si="2"/>
        <v>3.637978807091713E-14</v>
      </c>
      <c r="G27" s="214">
        <f t="shared" si="2"/>
        <v>2.8740032576024535E-14</v>
      </c>
      <c r="H27" s="214">
        <f t="shared" si="2"/>
        <v>6.511982064694166E-14</v>
      </c>
    </row>
    <row r="28" spans="1:8" ht="12.75">
      <c r="A28" s="666" t="s">
        <v>78</v>
      </c>
      <c r="B28" s="667"/>
      <c r="C28" s="214">
        <f>+C27</f>
        <v>0</v>
      </c>
      <c r="D28" s="214">
        <f>+C28+D27</f>
        <v>0</v>
      </c>
      <c r="E28" s="214">
        <f>+D28+E27</f>
        <v>0</v>
      </c>
      <c r="F28" s="214">
        <f>+E28+F27</f>
        <v>3.637978807091713E-14</v>
      </c>
      <c r="G28" s="214">
        <f>+F28+G27</f>
        <v>6.511982064694166E-14</v>
      </c>
      <c r="H28" s="214">
        <f>+G28+H27</f>
        <v>1.3023964129388332E-13</v>
      </c>
    </row>
    <row r="29" spans="1:8" ht="12.75">
      <c r="A29" s="666" t="s">
        <v>280</v>
      </c>
      <c r="B29" s="667"/>
      <c r="C29" s="43">
        <v>0</v>
      </c>
      <c r="D29" s="43">
        <v>0</v>
      </c>
      <c r="E29" s="43">
        <v>0</v>
      </c>
      <c r="F29" s="43">
        <v>7.275957614183426E-12</v>
      </c>
      <c r="G29" s="43">
        <v>7.275957614183426E-12</v>
      </c>
      <c r="H29" s="43">
        <v>1.4551915228366852E-11</v>
      </c>
    </row>
    <row r="30" spans="1:8" ht="12.75">
      <c r="A30" s="666" t="s">
        <v>79</v>
      </c>
      <c r="B30" s="667"/>
      <c r="C30" s="43">
        <f aca="true" t="shared" si="3" ref="C30:H30">+C28-C29</f>
        <v>0</v>
      </c>
      <c r="D30" s="43">
        <f t="shared" si="3"/>
        <v>0</v>
      </c>
      <c r="E30" s="43">
        <f t="shared" si="3"/>
        <v>0</v>
      </c>
      <c r="F30" s="43">
        <f t="shared" si="3"/>
        <v>-7.239577826112509E-12</v>
      </c>
      <c r="G30" s="43">
        <f t="shared" si="3"/>
        <v>-7.210837793536484E-12</v>
      </c>
      <c r="H30" s="43">
        <f t="shared" si="3"/>
        <v>-1.4421675587072968E-11</v>
      </c>
    </row>
    <row r="31" spans="1:8" ht="12.75">
      <c r="A31" s="54"/>
      <c r="B31" s="54"/>
      <c r="C31" s="54"/>
      <c r="D31" s="54"/>
      <c r="E31" s="54"/>
      <c r="F31" s="54"/>
      <c r="G31" s="54"/>
      <c r="H31" s="54"/>
    </row>
    <row r="32" spans="1:8" ht="12.75">
      <c r="A32" s="54"/>
      <c r="B32" s="54"/>
      <c r="C32" s="54"/>
      <c r="D32" s="54"/>
      <c r="E32" s="54"/>
      <c r="F32" s="54"/>
      <c r="G32" s="54"/>
      <c r="H32" s="54"/>
    </row>
    <row r="33" spans="1:8" ht="12.75">
      <c r="A33" s="54"/>
      <c r="B33" s="54"/>
      <c r="C33" s="54"/>
      <c r="D33" s="54"/>
      <c r="E33" s="54"/>
      <c r="F33" s="54"/>
      <c r="G33" s="54"/>
      <c r="H33" s="54"/>
    </row>
    <row r="34" spans="1:8" ht="12.75">
      <c r="A34" s="141"/>
      <c r="B34" s="54"/>
      <c r="C34" s="54"/>
      <c r="D34" s="54"/>
      <c r="E34" s="184"/>
      <c r="F34" s="54"/>
      <c r="G34" s="54"/>
      <c r="H34" s="54"/>
    </row>
    <row r="35" spans="1:8" ht="12.75">
      <c r="A35" s="54"/>
      <c r="B35" s="54"/>
      <c r="C35" s="54"/>
      <c r="D35" s="54"/>
      <c r="E35" s="54"/>
      <c r="F35" s="54"/>
      <c r="G35" s="54"/>
      <c r="H35" s="54"/>
    </row>
  </sheetData>
  <sheetProtection password="8318" sheet="1"/>
  <mergeCells count="11">
    <mergeCell ref="A4:H4"/>
    <mergeCell ref="A18:B18"/>
    <mergeCell ref="A8:B8"/>
    <mergeCell ref="A17:B17"/>
    <mergeCell ref="A16:B16"/>
    <mergeCell ref="A25:B25"/>
    <mergeCell ref="A30:B30"/>
    <mergeCell ref="A29:B29"/>
    <mergeCell ref="A28:B28"/>
    <mergeCell ref="A26:B26"/>
    <mergeCell ref="A27:B27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zoomScalePageLayoutView="0" workbookViewId="0" topLeftCell="A7">
      <selection activeCell="E36" sqref="E36"/>
    </sheetView>
  </sheetViews>
  <sheetFormatPr defaultColWidth="8.7109375" defaultRowHeight="12.75"/>
  <cols>
    <col min="1" max="1" width="26.421875" style="62" customWidth="1"/>
    <col min="2" max="2" width="7.57421875" style="62" customWidth="1"/>
    <col min="3" max="12" width="11.421875" style="62" customWidth="1"/>
    <col min="13" max="16384" width="8.7109375" style="62" customWidth="1"/>
  </cols>
  <sheetData>
    <row r="1" spans="1:8" ht="12.75">
      <c r="A1" s="54"/>
      <c r="B1" s="54"/>
      <c r="C1" s="216"/>
      <c r="D1" s="216"/>
      <c r="E1" s="216"/>
      <c r="F1" s="216"/>
      <c r="G1" s="483" t="s">
        <v>44</v>
      </c>
      <c r="H1" s="484" t="str">
        <f>+Pressupostos!E1</f>
        <v>XFCP Lda</v>
      </c>
    </row>
    <row r="2" spans="1:8" s="219" customFormat="1" ht="12.75">
      <c r="A2" s="217"/>
      <c r="B2" s="217"/>
      <c r="C2" s="217"/>
      <c r="D2" s="217"/>
      <c r="E2" s="217"/>
      <c r="F2" s="217"/>
      <c r="G2" s="217"/>
      <c r="H2" s="218" t="str">
        <f>+Pressupostos!B9</f>
        <v>Euros</v>
      </c>
    </row>
    <row r="3" spans="1:8" s="219" customFormat="1" ht="12.75">
      <c r="A3" s="217"/>
      <c r="B3" s="217"/>
      <c r="C3" s="217"/>
      <c r="D3" s="217"/>
      <c r="E3" s="217"/>
      <c r="F3" s="217"/>
      <c r="G3" s="217"/>
      <c r="H3" s="218"/>
    </row>
    <row r="4" spans="1:8" ht="15.75">
      <c r="A4" s="613" t="s">
        <v>39</v>
      </c>
      <c r="B4" s="613"/>
      <c r="C4" s="613"/>
      <c r="D4" s="613"/>
      <c r="E4" s="613"/>
      <c r="F4" s="613"/>
      <c r="G4" s="613"/>
      <c r="H4" s="613"/>
    </row>
    <row r="5" spans="1:8" ht="12.75">
      <c r="A5" s="54"/>
      <c r="B5" s="54"/>
      <c r="C5" s="125"/>
      <c r="D5" s="54"/>
      <c r="E5" s="54"/>
      <c r="F5" s="54"/>
      <c r="G5" s="54"/>
      <c r="H5" s="54"/>
    </row>
    <row r="6" spans="1:8" ht="12.75">
      <c r="A6" s="54"/>
      <c r="B6" s="54"/>
      <c r="C6" s="125"/>
      <c r="D6" s="54"/>
      <c r="E6" s="54"/>
      <c r="F6" s="54"/>
      <c r="G6" s="54"/>
      <c r="H6" s="54"/>
    </row>
    <row r="7" spans="1:8" ht="12.75">
      <c r="A7" s="52"/>
      <c r="B7" s="71"/>
      <c r="C7" s="51">
        <f>+VN!C8</f>
        <v>2019</v>
      </c>
      <c r="D7" s="51">
        <f>+VN!D8</f>
        <v>2020</v>
      </c>
      <c r="E7" s="51">
        <f>+VN!E8</f>
        <v>2021</v>
      </c>
      <c r="F7" s="51">
        <f>+VN!F8</f>
        <v>2022</v>
      </c>
      <c r="G7" s="51">
        <f>+VN!G8</f>
        <v>2023</v>
      </c>
      <c r="H7" s="51">
        <f>+VN!H8</f>
        <v>2024</v>
      </c>
    </row>
    <row r="8" spans="1:8" ht="12.75">
      <c r="A8" s="672" t="s">
        <v>281</v>
      </c>
      <c r="B8" s="673"/>
      <c r="C8" s="220"/>
      <c r="D8" s="220"/>
      <c r="E8" s="220"/>
      <c r="F8" s="220"/>
      <c r="G8" s="220"/>
      <c r="H8" s="220"/>
    </row>
    <row r="9" spans="1:8" ht="12.75">
      <c r="A9" s="126" t="s">
        <v>282</v>
      </c>
      <c r="B9" s="110"/>
      <c r="C9" s="129">
        <f aca="true" t="shared" si="0" ref="C9:H9">SUM(C10:C13)</f>
        <v>0</v>
      </c>
      <c r="D9" s="129">
        <f t="shared" si="0"/>
        <v>0</v>
      </c>
      <c r="E9" s="129">
        <f t="shared" si="0"/>
        <v>0</v>
      </c>
      <c r="F9" s="129">
        <f t="shared" si="0"/>
        <v>0</v>
      </c>
      <c r="G9" s="129">
        <f t="shared" si="0"/>
        <v>0</v>
      </c>
      <c r="H9" s="129">
        <f t="shared" si="0"/>
        <v>0</v>
      </c>
    </row>
    <row r="10" spans="1:8" ht="12.75">
      <c r="A10" s="55" t="s">
        <v>372</v>
      </c>
      <c r="B10" s="110"/>
      <c r="C10" s="93">
        <f>+Investimento!C180</f>
        <v>0</v>
      </c>
      <c r="D10" s="93">
        <f>+Investimento!D180</f>
        <v>0</v>
      </c>
      <c r="E10" s="93">
        <f>+Investimento!E180</f>
        <v>0</v>
      </c>
      <c r="F10" s="93">
        <f>+Investimento!F180</f>
        <v>0</v>
      </c>
      <c r="G10" s="93">
        <f>+Investimento!G180</f>
        <v>0</v>
      </c>
      <c r="H10" s="93">
        <f>+Investimento!H180</f>
        <v>0</v>
      </c>
    </row>
    <row r="11" spans="1:8" ht="12.75">
      <c r="A11" s="55" t="s">
        <v>367</v>
      </c>
      <c r="B11" s="110"/>
      <c r="C11" s="93">
        <f>+Investimento!C179</f>
        <v>0</v>
      </c>
      <c r="D11" s="93">
        <f>+Investimento!D179</f>
        <v>0</v>
      </c>
      <c r="E11" s="93">
        <f>+Investimento!E179</f>
        <v>0</v>
      </c>
      <c r="F11" s="93">
        <f>+Investimento!F179</f>
        <v>0</v>
      </c>
      <c r="G11" s="93">
        <f>+Investimento!G179</f>
        <v>0</v>
      </c>
      <c r="H11" s="93">
        <f>+Investimento!H179</f>
        <v>0</v>
      </c>
    </row>
    <row r="12" spans="1:8" ht="12.75">
      <c r="A12" s="55" t="s">
        <v>272</v>
      </c>
      <c r="B12" s="110"/>
      <c r="C12" s="93">
        <f>+Investimento!C181</f>
        <v>0</v>
      </c>
      <c r="D12" s="93">
        <f>+Investimento!D181</f>
        <v>0</v>
      </c>
      <c r="E12" s="93">
        <f>+Investimento!E181</f>
        <v>0</v>
      </c>
      <c r="F12" s="93">
        <f>+Investimento!F181</f>
        <v>0</v>
      </c>
      <c r="G12" s="93">
        <f>+Investimento!G181</f>
        <v>0</v>
      </c>
      <c r="H12" s="93">
        <f>+Investimento!H181</f>
        <v>0</v>
      </c>
    </row>
    <row r="13" spans="1:8" ht="12.75">
      <c r="A13" s="55" t="s">
        <v>425</v>
      </c>
      <c r="B13" s="110"/>
      <c r="C13" s="93"/>
      <c r="D13" s="93"/>
      <c r="E13" s="93"/>
      <c r="F13" s="93"/>
      <c r="G13" s="93"/>
      <c r="H13" s="93"/>
    </row>
    <row r="14" spans="1:8" ht="12.75">
      <c r="A14" s="55"/>
      <c r="B14" s="110"/>
      <c r="C14" s="93"/>
      <c r="D14" s="93"/>
      <c r="E14" s="93"/>
      <c r="F14" s="93"/>
      <c r="G14" s="93"/>
      <c r="H14" s="93"/>
    </row>
    <row r="15" spans="1:10" ht="12.75">
      <c r="A15" s="126" t="s">
        <v>426</v>
      </c>
      <c r="B15" s="110"/>
      <c r="C15" s="129">
        <f aca="true" t="shared" si="1" ref="C15:H15">SUM(C16:C22)</f>
        <v>0</v>
      </c>
      <c r="D15" s="129">
        <f t="shared" si="1"/>
        <v>0</v>
      </c>
      <c r="E15" s="129">
        <f t="shared" si="1"/>
        <v>0</v>
      </c>
      <c r="F15" s="129">
        <f t="shared" si="1"/>
        <v>7.275957614183426E-12</v>
      </c>
      <c r="G15" s="129">
        <f t="shared" si="1"/>
        <v>7.275957614183426E-12</v>
      </c>
      <c r="H15" s="129">
        <f t="shared" si="1"/>
        <v>1.4551915228366852E-11</v>
      </c>
      <c r="I15" s="143"/>
      <c r="J15" s="143"/>
    </row>
    <row r="16" spans="1:10" ht="12.75">
      <c r="A16" s="55" t="s">
        <v>157</v>
      </c>
      <c r="B16" s="110"/>
      <c r="C16" s="93">
        <f>+FundoManeio!C11</f>
        <v>0</v>
      </c>
      <c r="D16" s="93">
        <f>+FundoManeio!D11</f>
        <v>0</v>
      </c>
      <c r="E16" s="93">
        <f>+FundoManeio!E11</f>
        <v>0</v>
      </c>
      <c r="F16" s="93">
        <f>+FundoManeio!F11</f>
        <v>0</v>
      </c>
      <c r="G16" s="93">
        <f>+FundoManeio!G11</f>
        <v>0</v>
      </c>
      <c r="H16" s="93">
        <f>+FundoManeio!H11</f>
        <v>0</v>
      </c>
      <c r="I16" s="143"/>
      <c r="J16" s="143"/>
    </row>
    <row r="17" spans="1:10" ht="12.75">
      <c r="A17" s="55" t="s">
        <v>33</v>
      </c>
      <c r="B17" s="110"/>
      <c r="C17" s="93">
        <f>+FundoManeio!C10-VN!C87</f>
        <v>0</v>
      </c>
      <c r="D17" s="93">
        <f>+FundoManeio!D10-SUM(VN!C87:D87)</f>
        <v>0</v>
      </c>
      <c r="E17" s="93">
        <f>+FundoManeio!E10-SUM(VN!C87:E87)</f>
        <v>0</v>
      </c>
      <c r="F17" s="93">
        <f>+FundoManeio!F10-SUM(VN!C87:F87)</f>
        <v>0</v>
      </c>
      <c r="G17" s="93">
        <f>+FundoManeio!G10-SUM(VN!C87:G87)</f>
        <v>0</v>
      </c>
      <c r="H17" s="93">
        <f>+FundoManeio!H10-SUM(VN!C87:H87)</f>
        <v>0</v>
      </c>
      <c r="I17" s="143"/>
      <c r="J17" s="143"/>
    </row>
    <row r="18" spans="1:10" ht="12.75">
      <c r="A18" s="55" t="s">
        <v>427</v>
      </c>
      <c r="B18" s="110"/>
      <c r="C18" s="93">
        <f>+FundoManeio!C12</f>
        <v>0</v>
      </c>
      <c r="D18" s="93">
        <f>+FundoManeio!D12</f>
        <v>0</v>
      </c>
      <c r="E18" s="93">
        <f>+FundoManeio!E12</f>
        <v>0</v>
      </c>
      <c r="F18" s="93">
        <f>+FundoManeio!F12</f>
        <v>0</v>
      </c>
      <c r="G18" s="93">
        <f>+FundoManeio!G12</f>
        <v>0</v>
      </c>
      <c r="H18" s="93">
        <f>+FundoManeio!H12</f>
        <v>0</v>
      </c>
      <c r="I18" s="143"/>
      <c r="J18" s="143"/>
    </row>
    <row r="19" spans="1:10" ht="12.75">
      <c r="A19" s="55" t="s">
        <v>284</v>
      </c>
      <c r="B19" s="110"/>
      <c r="C19" s="93"/>
      <c r="D19" s="93"/>
      <c r="E19" s="93"/>
      <c r="F19" s="93"/>
      <c r="G19" s="93"/>
      <c r="H19" s="93"/>
      <c r="I19" s="143"/>
      <c r="J19" s="143"/>
    </row>
    <row r="20" spans="1:10" ht="12.75">
      <c r="A20" s="55" t="s">
        <v>428</v>
      </c>
      <c r="B20" s="110"/>
      <c r="C20" s="93"/>
      <c r="D20" s="93"/>
      <c r="E20" s="93"/>
      <c r="F20" s="93"/>
      <c r="G20" s="93"/>
      <c r="H20" s="93"/>
      <c r="I20" s="143"/>
      <c r="J20" s="143"/>
    </row>
    <row r="21" spans="1:10" ht="12.75">
      <c r="A21" s="55" t="s">
        <v>158</v>
      </c>
      <c r="B21" s="110"/>
      <c r="C21" s="93"/>
      <c r="D21" s="93"/>
      <c r="E21" s="93"/>
      <c r="F21" s="93"/>
      <c r="G21" s="93"/>
      <c r="H21" s="93"/>
      <c r="I21" s="143"/>
      <c r="J21" s="143"/>
    </row>
    <row r="22" spans="1:10" ht="12.75">
      <c r="A22" s="55" t="s">
        <v>429</v>
      </c>
      <c r="B22" s="110"/>
      <c r="C22" s="93">
        <f>+IF(PlanoFinanceiro!C29&gt;0,PlanoFinanceiro!C29,0)+FundoManeio!C9</f>
        <v>0</v>
      </c>
      <c r="D22" s="93">
        <f>+IF(PlanoFinanceiro!D29&gt;0,PlanoFinanceiro!D29,0)+FundoManeio!D9</f>
        <v>0</v>
      </c>
      <c r="E22" s="93">
        <f>+IF(PlanoFinanceiro!E29&gt;0,PlanoFinanceiro!E29,0)+FundoManeio!E9</f>
        <v>0</v>
      </c>
      <c r="F22" s="93">
        <f>+IF(PlanoFinanceiro!F29&gt;0,PlanoFinanceiro!F29,0)+FundoManeio!F9</f>
        <v>7.275957614183426E-12</v>
      </c>
      <c r="G22" s="93">
        <f>+IF(PlanoFinanceiro!G29&gt;0,PlanoFinanceiro!G29,0)+FundoManeio!G9</f>
        <v>7.275957614183426E-12</v>
      </c>
      <c r="H22" s="93">
        <f>+IF(PlanoFinanceiro!H29&gt;0,PlanoFinanceiro!H29,0)+FundoManeio!H9</f>
        <v>1.4551915228366852E-11</v>
      </c>
      <c r="I22" s="143"/>
      <c r="J22" s="143"/>
    </row>
    <row r="23" spans="1:10" ht="13.5" thickBot="1">
      <c r="A23" s="629" t="s">
        <v>283</v>
      </c>
      <c r="B23" s="630"/>
      <c r="C23" s="221">
        <f aca="true" t="shared" si="2" ref="C23:H23">+C15+C9</f>
        <v>0</v>
      </c>
      <c r="D23" s="221">
        <f t="shared" si="2"/>
        <v>0</v>
      </c>
      <c r="E23" s="221">
        <f t="shared" si="2"/>
        <v>0</v>
      </c>
      <c r="F23" s="221">
        <f t="shared" si="2"/>
        <v>7.275957614183426E-12</v>
      </c>
      <c r="G23" s="221">
        <f t="shared" si="2"/>
        <v>7.275957614183426E-12</v>
      </c>
      <c r="H23" s="221">
        <f t="shared" si="2"/>
        <v>1.4551915228366852E-11</v>
      </c>
      <c r="I23" s="143"/>
      <c r="J23" s="143"/>
    </row>
    <row r="24" spans="1:10" ht="13.5" thickTop="1">
      <c r="A24" s="170"/>
      <c r="B24" s="54"/>
      <c r="C24" s="102"/>
      <c r="D24" s="222"/>
      <c r="E24" s="222"/>
      <c r="F24" s="222"/>
      <c r="G24" s="222"/>
      <c r="H24" s="54"/>
      <c r="I24" s="143"/>
      <c r="J24" s="143"/>
    </row>
    <row r="25" spans="1:10" ht="12.75">
      <c r="A25" s="640" t="s">
        <v>119</v>
      </c>
      <c r="B25" s="642"/>
      <c r="C25" s="220"/>
      <c r="D25" s="220"/>
      <c r="E25" s="220"/>
      <c r="F25" s="220"/>
      <c r="G25" s="220"/>
      <c r="H25" s="220"/>
      <c r="I25" s="143"/>
      <c r="J25" s="143"/>
    </row>
    <row r="26" spans="1:10" ht="12.75">
      <c r="A26" s="117" t="s">
        <v>153</v>
      </c>
      <c r="B26" s="110"/>
      <c r="C26" s="93">
        <f>+Financiamento!C15</f>
        <v>0</v>
      </c>
      <c r="D26" s="93">
        <f>+C26+Financiamento!D15</f>
        <v>0</v>
      </c>
      <c r="E26" s="93">
        <f>+D26+Financiamento!E15</f>
        <v>0</v>
      </c>
      <c r="F26" s="93">
        <f>+E26+Financiamento!F15</f>
        <v>0</v>
      </c>
      <c r="G26" s="93">
        <f>+F26+Financiamento!G15</f>
        <v>0</v>
      </c>
      <c r="H26" s="93">
        <f>+G26+Financiamento!H15</f>
        <v>0</v>
      </c>
      <c r="I26" s="143"/>
      <c r="J26" s="143"/>
    </row>
    <row r="27" spans="1:10" ht="12.75">
      <c r="A27" s="117" t="s">
        <v>430</v>
      </c>
      <c r="B27" s="110"/>
      <c r="C27" s="93"/>
      <c r="D27" s="93"/>
      <c r="E27" s="93"/>
      <c r="F27" s="93"/>
      <c r="G27" s="93"/>
      <c r="H27" s="93"/>
      <c r="I27" s="143"/>
      <c r="J27" s="143"/>
    </row>
    <row r="28" spans="1:10" ht="12.75">
      <c r="A28" s="117" t="s">
        <v>431</v>
      </c>
      <c r="B28" s="110"/>
      <c r="C28" s="93">
        <f>+Financiamento!C16</f>
        <v>0</v>
      </c>
      <c r="D28" s="93">
        <f>+C28+Financiamento!D16</f>
        <v>0</v>
      </c>
      <c r="E28" s="93">
        <f>+D28+Financiamento!E16</f>
        <v>0</v>
      </c>
      <c r="F28" s="93">
        <f>+E28+Financiamento!F16</f>
        <v>0</v>
      </c>
      <c r="G28" s="93">
        <f>+F28+Financiamento!G16</f>
        <v>0</v>
      </c>
      <c r="H28" s="93">
        <f>+G28+Financiamento!H16</f>
        <v>0</v>
      </c>
      <c r="I28" s="143"/>
      <c r="J28" s="143"/>
    </row>
    <row r="29" spans="1:10" ht="12.75">
      <c r="A29" s="117" t="s">
        <v>185</v>
      </c>
      <c r="B29" s="110"/>
      <c r="C29" s="93"/>
      <c r="D29" s="93">
        <f>+C32-PlanoFinanceiro!D22</f>
        <v>0</v>
      </c>
      <c r="E29" s="93">
        <f>+D29+D32-PlanoFinanceiro!E22</f>
        <v>0</v>
      </c>
      <c r="F29" s="93">
        <f>+E29+E32-PlanoFinanceiro!F22</f>
        <v>0</v>
      </c>
      <c r="G29" s="93">
        <f>+F29+F32-PlanoFinanceiro!G22</f>
        <v>2.8740032576024535E-14</v>
      </c>
      <c r="H29" s="93">
        <f>+G29+G32-PlanoFinanceiro!H22</f>
        <v>5.748006515204907E-14</v>
      </c>
      <c r="I29" s="143"/>
      <c r="J29" s="143"/>
    </row>
    <row r="30" spans="1:10" ht="12.75">
      <c r="A30" s="117" t="s">
        <v>432</v>
      </c>
      <c r="B30" s="110"/>
      <c r="C30" s="93"/>
      <c r="D30" s="93"/>
      <c r="E30" s="93"/>
      <c r="F30" s="93"/>
      <c r="G30" s="93"/>
      <c r="H30" s="93"/>
      <c r="I30" s="143"/>
      <c r="J30" s="143"/>
    </row>
    <row r="31" spans="1:10" ht="12.75">
      <c r="A31" s="117" t="s">
        <v>433</v>
      </c>
      <c r="B31" s="110"/>
      <c r="C31" s="93">
        <f>+Financiamento!C19</f>
        <v>0</v>
      </c>
      <c r="D31" s="93">
        <f>+C31+Financiamento!D19</f>
        <v>0</v>
      </c>
      <c r="E31" s="93">
        <f>+D31+Financiamento!E19</f>
        <v>0</v>
      </c>
      <c r="F31" s="93">
        <f>+E31+Financiamento!F19</f>
        <v>0</v>
      </c>
      <c r="G31" s="93">
        <f>+F31+Financiamento!G19</f>
        <v>0</v>
      </c>
      <c r="H31" s="93">
        <f>+G31+Financiamento!H19</f>
        <v>0</v>
      </c>
      <c r="I31" s="143"/>
      <c r="J31" s="143"/>
    </row>
    <row r="32" spans="1:10" ht="12.75">
      <c r="A32" s="117" t="s">
        <v>434</v>
      </c>
      <c r="B32" s="110"/>
      <c r="C32" s="93">
        <f>+'DR'!B31</f>
        <v>0</v>
      </c>
      <c r="D32" s="93">
        <f>+'DR'!C31</f>
        <v>0</v>
      </c>
      <c r="E32" s="93">
        <f>+'DR'!D31</f>
        <v>0</v>
      </c>
      <c r="F32" s="93">
        <f>+'DR'!E31</f>
        <v>2.8740032576024535E-14</v>
      </c>
      <c r="G32" s="93">
        <f>+'DR'!F31</f>
        <v>2.8740032576024535E-14</v>
      </c>
      <c r="H32" s="93">
        <f>+'DR'!G31</f>
        <v>5.748006515204907E-14</v>
      </c>
      <c r="I32" s="143"/>
      <c r="J32" s="143"/>
    </row>
    <row r="33" spans="1:10" ht="13.5" thickBot="1">
      <c r="A33" s="629" t="s">
        <v>154</v>
      </c>
      <c r="B33" s="631"/>
      <c r="C33" s="276">
        <f aca="true" t="shared" si="3" ref="C33:H33">SUM(C26:C32)</f>
        <v>0</v>
      </c>
      <c r="D33" s="276">
        <f t="shared" si="3"/>
        <v>0</v>
      </c>
      <c r="E33" s="276">
        <f t="shared" si="3"/>
        <v>0</v>
      </c>
      <c r="F33" s="276">
        <f t="shared" si="3"/>
        <v>2.8740032576024535E-14</v>
      </c>
      <c r="G33" s="276">
        <f t="shared" si="3"/>
        <v>5.748006515204907E-14</v>
      </c>
      <c r="H33" s="276">
        <f t="shared" si="3"/>
        <v>1.1496013030409814E-13</v>
      </c>
      <c r="I33" s="143"/>
      <c r="J33" s="143"/>
    </row>
    <row r="34" spans="1:10" ht="13.5" thickTop="1">
      <c r="A34" s="54"/>
      <c r="B34" s="54"/>
      <c r="C34" s="201"/>
      <c r="D34" s="201"/>
      <c r="E34" s="201"/>
      <c r="F34" s="201"/>
      <c r="G34" s="201"/>
      <c r="H34" s="201"/>
      <c r="I34" s="143"/>
      <c r="J34" s="143"/>
    </row>
    <row r="35" spans="1:10" ht="12.75">
      <c r="A35" s="674" t="s">
        <v>35</v>
      </c>
      <c r="B35" s="675"/>
      <c r="C35" s="274"/>
      <c r="D35" s="274"/>
      <c r="E35" s="274"/>
      <c r="F35" s="274"/>
      <c r="G35" s="274"/>
      <c r="H35" s="274"/>
      <c r="I35" s="143"/>
      <c r="J35" s="143"/>
    </row>
    <row r="36" spans="1:10" ht="12.75">
      <c r="A36" s="126"/>
      <c r="B36" s="110"/>
      <c r="C36" s="275"/>
      <c r="D36" s="275"/>
      <c r="E36" s="275"/>
      <c r="F36" s="275"/>
      <c r="G36" s="275"/>
      <c r="H36" s="275"/>
      <c r="I36" s="143"/>
      <c r="J36" s="143"/>
    </row>
    <row r="37" spans="1:10" ht="12.75">
      <c r="A37" s="126" t="s">
        <v>435</v>
      </c>
      <c r="B37" s="110"/>
      <c r="C37" s="129">
        <f aca="true" t="shared" si="4" ref="C37:H37">SUM(C38:C40)</f>
        <v>0</v>
      </c>
      <c r="D37" s="129">
        <f t="shared" si="4"/>
        <v>0</v>
      </c>
      <c r="E37" s="129">
        <f t="shared" si="4"/>
        <v>0</v>
      </c>
      <c r="F37" s="129">
        <f t="shared" si="4"/>
        <v>0</v>
      </c>
      <c r="G37" s="129">
        <f t="shared" si="4"/>
        <v>0</v>
      </c>
      <c r="H37" s="129">
        <f t="shared" si="4"/>
        <v>0</v>
      </c>
      <c r="I37" s="143"/>
      <c r="J37" s="143"/>
    </row>
    <row r="38" spans="1:10" ht="12.75">
      <c r="A38" s="55" t="s">
        <v>155</v>
      </c>
      <c r="B38" s="110"/>
      <c r="C38" s="93"/>
      <c r="D38" s="93"/>
      <c r="E38" s="93"/>
      <c r="F38" s="93"/>
      <c r="G38" s="93"/>
      <c r="H38" s="93"/>
      <c r="I38" s="143"/>
      <c r="J38" s="143"/>
    </row>
    <row r="39" spans="1:10" ht="12.75">
      <c r="A39" s="55" t="s">
        <v>436</v>
      </c>
      <c r="B39" s="110"/>
      <c r="C39" s="93">
        <f>+Financiamento!C101</f>
        <v>0</v>
      </c>
      <c r="D39" s="93">
        <f>+Financiamento!D101</f>
        <v>0</v>
      </c>
      <c r="E39" s="93">
        <f>+Financiamento!E101</f>
        <v>0</v>
      </c>
      <c r="F39" s="93">
        <f>+Financiamento!F101</f>
        <v>0</v>
      </c>
      <c r="G39" s="93">
        <f>+Financiamento!G101</f>
        <v>0</v>
      </c>
      <c r="H39" s="93">
        <f>+Financiamento!H101</f>
        <v>0</v>
      </c>
      <c r="I39" s="143"/>
      <c r="J39" s="143"/>
    </row>
    <row r="40" spans="1:10" ht="12.75">
      <c r="A40" s="55" t="s">
        <v>437</v>
      </c>
      <c r="B40" s="110"/>
      <c r="C40" s="223"/>
      <c r="D40" s="223"/>
      <c r="E40" s="223"/>
      <c r="F40" s="223"/>
      <c r="G40" s="223"/>
      <c r="H40" s="223"/>
      <c r="I40" s="143"/>
      <c r="J40" s="143"/>
    </row>
    <row r="41" spans="1:10" ht="12.75">
      <c r="A41" s="55"/>
      <c r="B41" s="110"/>
      <c r="C41" s="223"/>
      <c r="D41" s="223"/>
      <c r="E41" s="223"/>
      <c r="F41" s="223"/>
      <c r="G41" s="223"/>
      <c r="H41" s="223"/>
      <c r="I41" s="143"/>
      <c r="J41" s="143"/>
    </row>
    <row r="42" spans="1:10" ht="12.75">
      <c r="A42" s="126" t="s">
        <v>438</v>
      </c>
      <c r="B42" s="110"/>
      <c r="C42" s="314">
        <f aca="true" t="shared" si="5" ref="C42:H42">SUM(C43:C47)</f>
        <v>0</v>
      </c>
      <c r="D42" s="314">
        <f t="shared" si="5"/>
        <v>0</v>
      </c>
      <c r="E42" s="314">
        <f t="shared" si="5"/>
        <v>0</v>
      </c>
      <c r="F42" s="314">
        <f t="shared" si="5"/>
        <v>7.639755494892597E-15</v>
      </c>
      <c r="G42" s="314">
        <f t="shared" si="5"/>
        <v>7.639755494892597E-15</v>
      </c>
      <c r="H42" s="314">
        <f t="shared" si="5"/>
        <v>1.5279510989785193E-14</v>
      </c>
      <c r="I42" s="143"/>
      <c r="J42" s="143"/>
    </row>
    <row r="43" spans="1:10" ht="12.75">
      <c r="A43" s="55" t="s">
        <v>11</v>
      </c>
      <c r="B43" s="110"/>
      <c r="C43" s="223">
        <f>+FundoManeio!C17</f>
        <v>0</v>
      </c>
      <c r="D43" s="223">
        <f>+FundoManeio!D17</f>
        <v>0</v>
      </c>
      <c r="E43" s="223">
        <f>+FundoManeio!E17</f>
        <v>0</v>
      </c>
      <c r="F43" s="223">
        <f>+FundoManeio!F17</f>
        <v>0</v>
      </c>
      <c r="G43" s="223">
        <f>+FundoManeio!G17</f>
        <v>0</v>
      </c>
      <c r="H43" s="223">
        <f>+FundoManeio!H17</f>
        <v>0</v>
      </c>
      <c r="I43" s="143"/>
      <c r="J43" s="143"/>
    </row>
    <row r="44" spans="1:10" ht="12.75">
      <c r="A44" s="55" t="s">
        <v>427</v>
      </c>
      <c r="B44" s="110"/>
      <c r="C44" s="223">
        <f>+FundoManeio!C18+'DR'!B30</f>
        <v>0</v>
      </c>
      <c r="D44" s="223">
        <f>+FundoManeio!D18+'DR'!C30</f>
        <v>0</v>
      </c>
      <c r="E44" s="223">
        <f>+FundoManeio!E18+'DR'!D30</f>
        <v>0</v>
      </c>
      <c r="F44" s="223">
        <f>+FundoManeio!F18+'DR'!E30</f>
        <v>7.639755494892597E-15</v>
      </c>
      <c r="G44" s="223">
        <f>+FundoManeio!G18+'DR'!F30</f>
        <v>7.639755494892597E-15</v>
      </c>
      <c r="H44" s="223">
        <f>+FundoManeio!H18+'DR'!G30</f>
        <v>1.5279510989785193E-14</v>
      </c>
      <c r="I44" s="143"/>
      <c r="J44" s="143"/>
    </row>
    <row r="45" spans="1:10" ht="12.75">
      <c r="A45" s="55" t="s">
        <v>284</v>
      </c>
      <c r="B45" s="110"/>
      <c r="C45" s="223">
        <f>+Financiamento!C17</f>
        <v>0</v>
      </c>
      <c r="D45" s="223">
        <f>+C45+Financiamento!D17</f>
        <v>0</v>
      </c>
      <c r="E45" s="223">
        <f>+D45+Financiamento!E17</f>
        <v>0</v>
      </c>
      <c r="F45" s="223">
        <f>+E45+Financiamento!F17</f>
        <v>0</v>
      </c>
      <c r="G45" s="223">
        <f>+F45+Financiamento!G17</f>
        <v>0</v>
      </c>
      <c r="H45" s="223">
        <f>+G45+Financiamento!H17</f>
        <v>0</v>
      </c>
      <c r="I45" s="143"/>
      <c r="J45" s="143"/>
    </row>
    <row r="46" spans="1:10" ht="12.75">
      <c r="A46" s="55" t="s">
        <v>436</v>
      </c>
      <c r="B46" s="110"/>
      <c r="C46" s="223">
        <f>+IF(PlanoFinanceiro!C29&lt;0,-PlanoFinanceiro!C29,0)</f>
        <v>0</v>
      </c>
      <c r="D46" s="223">
        <f>+IF(PlanoFinanceiro!D29&lt;0,-PlanoFinanceiro!D29,0)</f>
        <v>0</v>
      </c>
      <c r="E46" s="223">
        <f>+IF(PlanoFinanceiro!E29&lt;0,-PlanoFinanceiro!E29,0)</f>
        <v>0</v>
      </c>
      <c r="F46" s="223">
        <f>+IF(PlanoFinanceiro!F29&lt;0,-PlanoFinanceiro!F29,0)</f>
        <v>0</v>
      </c>
      <c r="G46" s="223">
        <f>+IF(PlanoFinanceiro!G29&lt;0,-PlanoFinanceiro!G29,0)</f>
        <v>0</v>
      </c>
      <c r="H46" s="223">
        <f>+IF(PlanoFinanceiro!H29&lt;0,-PlanoFinanceiro!H29,0)</f>
        <v>0</v>
      </c>
      <c r="I46" s="143"/>
      <c r="J46" s="143"/>
    </row>
    <row r="47" spans="1:10" ht="12.75">
      <c r="A47" s="55" t="s">
        <v>437</v>
      </c>
      <c r="B47" s="110"/>
      <c r="C47" s="223"/>
      <c r="D47" s="223"/>
      <c r="E47" s="223"/>
      <c r="F47" s="223"/>
      <c r="G47" s="223"/>
      <c r="H47" s="223"/>
      <c r="I47" s="143"/>
      <c r="J47" s="143"/>
    </row>
    <row r="48" spans="1:10" ht="12.75">
      <c r="A48" s="126"/>
      <c r="B48" s="110"/>
      <c r="C48" s="223"/>
      <c r="D48" s="223"/>
      <c r="E48" s="223"/>
      <c r="F48" s="223"/>
      <c r="G48" s="223"/>
      <c r="H48" s="223"/>
      <c r="I48" s="143"/>
      <c r="J48" s="143"/>
    </row>
    <row r="49" spans="1:10" ht="13.5" thickBot="1">
      <c r="A49" s="629" t="s">
        <v>36</v>
      </c>
      <c r="B49" s="631"/>
      <c r="C49" s="276">
        <f aca="true" t="shared" si="6" ref="C49:H49">+C42+C37</f>
        <v>0</v>
      </c>
      <c r="D49" s="276">
        <f t="shared" si="6"/>
        <v>0</v>
      </c>
      <c r="E49" s="276">
        <f t="shared" si="6"/>
        <v>0</v>
      </c>
      <c r="F49" s="276">
        <f t="shared" si="6"/>
        <v>7.639755494892597E-15</v>
      </c>
      <c r="G49" s="276">
        <f t="shared" si="6"/>
        <v>7.639755494892597E-15</v>
      </c>
      <c r="H49" s="276">
        <f t="shared" si="6"/>
        <v>1.5279510989785193E-14</v>
      </c>
      <c r="I49" s="143"/>
      <c r="J49" s="143"/>
    </row>
    <row r="50" spans="1:10" ht="13.5" thickTop="1">
      <c r="A50" s="97"/>
      <c r="B50" s="97"/>
      <c r="C50" s="201"/>
      <c r="D50" s="54"/>
      <c r="E50" s="54"/>
      <c r="F50" s="54"/>
      <c r="G50" s="54"/>
      <c r="H50" s="54"/>
      <c r="I50" s="143"/>
      <c r="J50" s="143"/>
    </row>
    <row r="51" spans="1:10" ht="13.5" thickBot="1">
      <c r="A51" s="630" t="s">
        <v>120</v>
      </c>
      <c r="B51" s="630"/>
      <c r="C51" s="34">
        <f aca="true" t="shared" si="7" ref="C51:H51">+C49+C33</f>
        <v>0</v>
      </c>
      <c r="D51" s="34">
        <f t="shared" si="7"/>
        <v>0</v>
      </c>
      <c r="E51" s="34">
        <f t="shared" si="7"/>
        <v>0</v>
      </c>
      <c r="F51" s="34">
        <f t="shared" si="7"/>
        <v>3.637978807091713E-14</v>
      </c>
      <c r="G51" s="34">
        <f t="shared" si="7"/>
        <v>6.511982064694167E-14</v>
      </c>
      <c r="H51" s="34">
        <f t="shared" si="7"/>
        <v>1.3023964129388334E-13</v>
      </c>
      <c r="I51" s="143"/>
      <c r="J51" s="143"/>
    </row>
    <row r="52" spans="3:8" ht="13.5" thickTop="1">
      <c r="C52" s="224"/>
      <c r="D52" s="224"/>
      <c r="E52" s="224"/>
      <c r="F52" s="224"/>
      <c r="G52" s="224"/>
      <c r="H52" s="224"/>
    </row>
    <row r="53" spans="3:8" ht="12.75">
      <c r="C53" s="485">
        <f aca="true" t="shared" si="8" ref="C53:H53">+C23-C51</f>
        <v>0</v>
      </c>
      <c r="D53" s="485">
        <f t="shared" si="8"/>
        <v>0</v>
      </c>
      <c r="E53" s="486">
        <f t="shared" si="8"/>
        <v>0</v>
      </c>
      <c r="F53" s="485">
        <f t="shared" si="8"/>
        <v>7.239577826112509E-12</v>
      </c>
      <c r="G53" s="485">
        <f t="shared" si="8"/>
        <v>7.210837793536484E-12</v>
      </c>
      <c r="H53" s="485">
        <f t="shared" si="8"/>
        <v>1.4421675587072968E-11</v>
      </c>
    </row>
    <row r="54" spans="3:8" ht="12.75">
      <c r="C54" s="224"/>
      <c r="D54" s="226">
        <f>+D53-C53</f>
        <v>0</v>
      </c>
      <c r="E54" s="226">
        <f>+E53-D53</f>
        <v>0</v>
      </c>
      <c r="F54" s="226">
        <f>+F53-E53</f>
        <v>7.239577826112509E-12</v>
      </c>
      <c r="G54" s="226">
        <f>+G53-F53</f>
        <v>-2.87400325760246E-14</v>
      </c>
      <c r="H54" s="226">
        <f>+H53-G53</f>
        <v>7.210837793536484E-12</v>
      </c>
    </row>
    <row r="55" spans="3:8" ht="12.75">
      <c r="C55" s="224"/>
      <c r="D55" s="224"/>
      <c r="E55" s="224"/>
      <c r="F55" s="224"/>
      <c r="G55" s="224"/>
      <c r="H55" s="224"/>
    </row>
    <row r="56" spans="3:8" ht="12.75">
      <c r="C56" s="224"/>
      <c r="D56" s="225"/>
      <c r="E56" s="227"/>
      <c r="F56" s="227"/>
      <c r="G56" s="224"/>
      <c r="H56" s="224"/>
    </row>
    <row r="57" spans="3:8" ht="12.75">
      <c r="C57" s="219"/>
      <c r="D57" s="219"/>
      <c r="E57" s="219"/>
      <c r="F57" s="219"/>
      <c r="G57" s="219"/>
      <c r="H57" s="219"/>
    </row>
    <row r="58" spans="3:8" ht="12.75">
      <c r="C58" s="219"/>
      <c r="D58" s="219"/>
      <c r="E58" s="219"/>
      <c r="F58" s="219"/>
      <c r="G58" s="219"/>
      <c r="H58" s="219"/>
    </row>
    <row r="59" spans="3:8" ht="12.75">
      <c r="C59" s="219"/>
      <c r="D59" s="219"/>
      <c r="E59" s="219"/>
      <c r="F59" s="219"/>
      <c r="G59" s="219"/>
      <c r="H59" s="219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zoomScalePageLayoutView="0" workbookViewId="0" topLeftCell="A1">
      <selection activeCell="J7" sqref="J7"/>
    </sheetView>
  </sheetViews>
  <sheetFormatPr defaultColWidth="8.7109375" defaultRowHeight="12.75"/>
  <cols>
    <col min="1" max="1" width="42.8515625" style="62" bestFit="1" customWidth="1"/>
    <col min="2" max="11" width="11.421875" style="62" customWidth="1"/>
    <col min="12" max="16384" width="8.7109375" style="62" customWidth="1"/>
  </cols>
  <sheetData>
    <row r="1" spans="1:7" ht="12.75">
      <c r="A1" s="54"/>
      <c r="B1" s="54"/>
      <c r="C1" s="48"/>
      <c r="D1" s="48"/>
      <c r="E1" s="48"/>
      <c r="F1" s="445" t="str">
        <f>+VN!G1</f>
        <v>Empresa:</v>
      </c>
      <c r="G1" s="460" t="str">
        <f>+Pressupostos!E1</f>
        <v>XFCP Lda</v>
      </c>
    </row>
    <row r="2" spans="1:7" ht="12.75">
      <c r="A2" s="54"/>
      <c r="B2" s="54"/>
      <c r="C2" s="54"/>
      <c r="D2" s="54"/>
      <c r="E2" s="54"/>
      <c r="F2" s="54"/>
      <c r="G2" s="54"/>
    </row>
    <row r="3" spans="1:7" ht="12.75">
      <c r="A3" s="54"/>
      <c r="B3" s="54"/>
      <c r="C3" s="54"/>
      <c r="D3" s="54"/>
      <c r="E3" s="54"/>
      <c r="F3" s="54"/>
      <c r="G3" s="54"/>
    </row>
    <row r="4" spans="1:7" ht="15.75">
      <c r="A4" s="613" t="s">
        <v>41</v>
      </c>
      <c r="B4" s="613"/>
      <c r="C4" s="613"/>
      <c r="D4" s="613"/>
      <c r="E4" s="613"/>
      <c r="F4" s="613"/>
      <c r="G4" s="613"/>
    </row>
    <row r="5" spans="1:7" ht="13.5" thickBot="1">
      <c r="A5" s="54"/>
      <c r="B5" s="54"/>
      <c r="C5" s="54"/>
      <c r="D5" s="54"/>
      <c r="E5" s="54"/>
      <c r="F5" s="54"/>
      <c r="G5" s="54"/>
    </row>
    <row r="6" spans="1:7" ht="13.5" thickBot="1">
      <c r="A6" s="316" t="s">
        <v>82</v>
      </c>
      <c r="B6" s="317">
        <f>+VN!C8</f>
        <v>2019</v>
      </c>
      <c r="C6" s="317">
        <f>+VN!D8</f>
        <v>2020</v>
      </c>
      <c r="D6" s="317">
        <f>+VN!E8</f>
        <v>2021</v>
      </c>
      <c r="E6" s="317">
        <f>+VN!F8</f>
        <v>2022</v>
      </c>
      <c r="F6" s="317">
        <f>+VN!G8</f>
        <v>2023</v>
      </c>
      <c r="G6" s="318">
        <f>+VN!H8</f>
        <v>2024</v>
      </c>
    </row>
    <row r="7" spans="1:7" ht="12.75">
      <c r="A7" s="331" t="s">
        <v>81</v>
      </c>
      <c r="B7" s="173"/>
      <c r="C7" s="173" t="e">
        <f>+('DR'!C8/'DR'!B8)-1</f>
        <v>#DIV/0!</v>
      </c>
      <c r="D7" s="173" t="e">
        <f>+('DR'!D8/'DR'!C8)-1</f>
        <v>#DIV/0!</v>
      </c>
      <c r="E7" s="173" t="e">
        <f>+('DR'!E8/'DR'!D8)-1</f>
        <v>#DIV/0!</v>
      </c>
      <c r="F7" s="173" t="e">
        <f>+('DR'!F8/'DR'!E8)-1</f>
        <v>#DIV/0!</v>
      </c>
      <c r="G7" s="320" t="e">
        <f>+('DR'!G8/'DR'!F8)-1</f>
        <v>#DIV/0!</v>
      </c>
    </row>
    <row r="8" spans="1:7" ht="13.5" thickBot="1">
      <c r="A8" s="331" t="s">
        <v>450</v>
      </c>
      <c r="B8" s="321" t="e">
        <f>'DR'!B31/'DR'!B8</f>
        <v>#DIV/0!</v>
      </c>
      <c r="C8" s="321" t="e">
        <f>'DR'!C31/'DR'!C8</f>
        <v>#DIV/0!</v>
      </c>
      <c r="D8" s="321" t="e">
        <f>'DR'!D31/'DR'!D8</f>
        <v>#DIV/0!</v>
      </c>
      <c r="E8" s="321" t="e">
        <f>'DR'!E31/'DR'!E8</f>
        <v>#DIV/0!</v>
      </c>
      <c r="F8" s="321" t="e">
        <f>'DR'!F31/'DR'!F8</f>
        <v>#DIV/0!</v>
      </c>
      <c r="G8" s="322" t="e">
        <f>'DR'!G31/'DR'!G8</f>
        <v>#DIV/0!</v>
      </c>
    </row>
    <row r="9" spans="1:7" ht="13.5" thickBot="1">
      <c r="A9" s="54"/>
      <c r="B9" s="54"/>
      <c r="C9" s="54"/>
      <c r="D9" s="54"/>
      <c r="E9" s="54"/>
      <c r="F9" s="54"/>
      <c r="G9" s="54"/>
    </row>
    <row r="10" spans="1:7" ht="13.5" thickBot="1">
      <c r="A10" s="316" t="s">
        <v>285</v>
      </c>
      <c r="B10" s="317">
        <f aca="true" t="shared" si="0" ref="B10:G10">+B6</f>
        <v>2019</v>
      </c>
      <c r="C10" s="317">
        <f t="shared" si="0"/>
        <v>2020</v>
      </c>
      <c r="D10" s="317">
        <f t="shared" si="0"/>
        <v>2021</v>
      </c>
      <c r="E10" s="317">
        <f t="shared" si="0"/>
        <v>2022</v>
      </c>
      <c r="F10" s="317">
        <f t="shared" si="0"/>
        <v>2023</v>
      </c>
      <c r="G10" s="318">
        <f t="shared" si="0"/>
        <v>2024</v>
      </c>
    </row>
    <row r="11" spans="1:7" ht="12.75">
      <c r="A11" s="331" t="s">
        <v>85</v>
      </c>
      <c r="B11" s="173" t="e">
        <f>'DR'!B31/Balanço!C23</f>
        <v>#DIV/0!</v>
      </c>
      <c r="C11" s="173" t="e">
        <f>'DR'!C31/Balanço!D23</f>
        <v>#DIV/0!</v>
      </c>
      <c r="D11" s="173" t="e">
        <f>'DR'!D31/Balanço!E23</f>
        <v>#DIV/0!</v>
      </c>
      <c r="E11" s="173">
        <f>'DR'!E31/Balanço!F23</f>
        <v>0.00395</v>
      </c>
      <c r="F11" s="173">
        <f>'DR'!F31/Balanço!G23</f>
        <v>0.00395</v>
      </c>
      <c r="G11" s="320">
        <f>'DR'!G31/Balanço!H23</f>
        <v>0.00395</v>
      </c>
    </row>
    <row r="12" spans="1:7" ht="12.75">
      <c r="A12" s="331" t="s">
        <v>286</v>
      </c>
      <c r="B12" s="173" t="e">
        <f>+'DR'!B26/Balanço!C23</f>
        <v>#DIV/0!</v>
      </c>
      <c r="C12" s="173" t="e">
        <f>+'DR'!C26/Balanço!D23</f>
        <v>#DIV/0!</v>
      </c>
      <c r="D12" s="173" t="e">
        <f>+'DR'!D26/Balanço!E23</f>
        <v>#DIV/0!</v>
      </c>
      <c r="E12" s="173">
        <f>+'DR'!E26/Balanço!F23</f>
        <v>0</v>
      </c>
      <c r="F12" s="173">
        <f>+'DR'!F26/Balanço!G23</f>
        <v>0</v>
      </c>
      <c r="G12" s="320">
        <f>+'DR'!G26/Balanço!H23</f>
        <v>0</v>
      </c>
    </row>
    <row r="13" spans="1:7" ht="12.75">
      <c r="A13" s="331" t="s">
        <v>287</v>
      </c>
      <c r="B13" s="173" t="e">
        <f>'DR'!B8/Balanço!C23</f>
        <v>#DIV/0!</v>
      </c>
      <c r="C13" s="173" t="e">
        <f>'DR'!C8/Balanço!D23</f>
        <v>#DIV/0!</v>
      </c>
      <c r="D13" s="173" t="e">
        <f>'DR'!D8/Balanço!E23</f>
        <v>#DIV/0!</v>
      </c>
      <c r="E13" s="173">
        <f>'DR'!E8/Balanço!F23</f>
        <v>0</v>
      </c>
      <c r="F13" s="173">
        <f>'DR'!F8/Balanço!G23</f>
        <v>0</v>
      </c>
      <c r="G13" s="320">
        <f>'DR'!G8/Balanço!H23</f>
        <v>0</v>
      </c>
    </row>
    <row r="14" spans="1:7" ht="13.5" thickBot="1">
      <c r="A14" s="331" t="s">
        <v>86</v>
      </c>
      <c r="B14" s="321" t="e">
        <f>+'DR'!B31/Balanço!C33</f>
        <v>#DIV/0!</v>
      </c>
      <c r="C14" s="321" t="e">
        <f>+'DR'!C31/Balanço!D33</f>
        <v>#DIV/0!</v>
      </c>
      <c r="D14" s="321" t="e">
        <f>+'DR'!D31/Balanço!E33</f>
        <v>#DIV/0!</v>
      </c>
      <c r="E14" s="321">
        <f>+'DR'!E31/Balanço!F33</f>
        <v>1</v>
      </c>
      <c r="F14" s="321">
        <f>+'DR'!F31/Balanço!G33</f>
        <v>0.5</v>
      </c>
      <c r="G14" s="322">
        <f>+'DR'!G31/Balanço!H33</f>
        <v>0.5</v>
      </c>
    </row>
    <row r="15" spans="1:7" ht="13.5" thickBot="1">
      <c r="A15" s="54"/>
      <c r="B15" s="54"/>
      <c r="C15" s="54"/>
      <c r="D15" s="54"/>
      <c r="E15" s="54"/>
      <c r="F15" s="54"/>
      <c r="G15" s="54"/>
    </row>
    <row r="16" spans="1:7" ht="13.5" thickBot="1">
      <c r="A16" s="316" t="s">
        <v>83</v>
      </c>
      <c r="B16" s="326">
        <f aca="true" t="shared" si="1" ref="B16:G16">+B6</f>
        <v>2019</v>
      </c>
      <c r="C16" s="326">
        <f t="shared" si="1"/>
        <v>2020</v>
      </c>
      <c r="D16" s="326">
        <f t="shared" si="1"/>
        <v>2021</v>
      </c>
      <c r="E16" s="326">
        <f t="shared" si="1"/>
        <v>2022</v>
      </c>
      <c r="F16" s="326">
        <f t="shared" si="1"/>
        <v>2023</v>
      </c>
      <c r="G16" s="327">
        <f t="shared" si="1"/>
        <v>2024</v>
      </c>
    </row>
    <row r="17" spans="1:7" ht="12.75">
      <c r="A17" s="331" t="s">
        <v>12</v>
      </c>
      <c r="B17" s="173" t="e">
        <f>Balanço!C33/Balanço!C23</f>
        <v>#DIV/0!</v>
      </c>
      <c r="C17" s="173" t="e">
        <f>Balanço!D33/Balanço!D23</f>
        <v>#DIV/0!</v>
      </c>
      <c r="D17" s="173" t="e">
        <f>Balanço!E33/Balanço!E23</f>
        <v>#DIV/0!</v>
      </c>
      <c r="E17" s="173">
        <f>Balanço!F33/Balanço!F23</f>
        <v>0.00395</v>
      </c>
      <c r="F17" s="173">
        <f>Balanço!G33/Balanço!G23</f>
        <v>0.0079</v>
      </c>
      <c r="G17" s="328">
        <f>Balanço!H33/Balanço!H23</f>
        <v>0.0079</v>
      </c>
    </row>
    <row r="18" spans="1:7" ht="12.75">
      <c r="A18" s="331" t="s">
        <v>9</v>
      </c>
      <c r="B18" s="173" t="e">
        <f>Balanço!C23/Balanço!C49</f>
        <v>#DIV/0!</v>
      </c>
      <c r="C18" s="173" t="e">
        <f>Balanço!D23/Balanço!D49</f>
        <v>#DIV/0!</v>
      </c>
      <c r="D18" s="173" t="e">
        <f>Balanço!E23/Balanço!E49</f>
        <v>#DIV/0!</v>
      </c>
      <c r="E18" s="173">
        <f>Balanço!F23/Balanço!F49</f>
        <v>952.3809523809524</v>
      </c>
      <c r="F18" s="173">
        <f>Balanço!G23/Balanço!G49</f>
        <v>952.3809523809524</v>
      </c>
      <c r="G18" s="328">
        <f>Balanço!H23/Balanço!H49</f>
        <v>952.3809523809524</v>
      </c>
    </row>
    <row r="19" spans="1:7" ht="13.5" thickBot="1">
      <c r="A19" s="331" t="s">
        <v>288</v>
      </c>
      <c r="B19" s="329" t="e">
        <f>+'DR'!B26/'DR'!B28</f>
        <v>#DIV/0!</v>
      </c>
      <c r="C19" s="329" t="e">
        <f>+'DR'!C26/'DR'!C28</f>
        <v>#DIV/0!</v>
      </c>
      <c r="D19" s="329" t="e">
        <f>+'DR'!D26/'DR'!D28</f>
        <v>#DIV/0!</v>
      </c>
      <c r="E19" s="329" t="e">
        <f>+'DR'!E26/'DR'!E28</f>
        <v>#DIV/0!</v>
      </c>
      <c r="F19" s="329" t="e">
        <f>+'DR'!F26/'DR'!F28</f>
        <v>#DIV/0!</v>
      </c>
      <c r="G19" s="330" t="e">
        <f>+'DR'!G26/'DR'!G28</f>
        <v>#DIV/0!</v>
      </c>
    </row>
    <row r="20" spans="1:7" ht="13.5" thickBot="1">
      <c r="A20" s="54"/>
      <c r="B20" s="54"/>
      <c r="C20" s="54"/>
      <c r="D20" s="54"/>
      <c r="E20" s="54"/>
      <c r="F20" s="54"/>
      <c r="G20" s="54"/>
    </row>
    <row r="21" spans="1:7" ht="13.5" thickBot="1">
      <c r="A21" s="316" t="s">
        <v>84</v>
      </c>
      <c r="B21" s="317">
        <f aca="true" t="shared" si="2" ref="B21:G21">+B6</f>
        <v>2019</v>
      </c>
      <c r="C21" s="317">
        <f t="shared" si="2"/>
        <v>2020</v>
      </c>
      <c r="D21" s="317">
        <f t="shared" si="2"/>
        <v>2021</v>
      </c>
      <c r="E21" s="317">
        <f t="shared" si="2"/>
        <v>2022</v>
      </c>
      <c r="F21" s="317">
        <f t="shared" si="2"/>
        <v>2023</v>
      </c>
      <c r="G21" s="318">
        <f t="shared" si="2"/>
        <v>2024</v>
      </c>
    </row>
    <row r="22" spans="1:7" ht="12.75">
      <c r="A22" s="331" t="s">
        <v>199</v>
      </c>
      <c r="B22" s="315" t="e">
        <f>Balanço!C15/Balanço!C42</f>
        <v>#DIV/0!</v>
      </c>
      <c r="C22" s="315" t="e">
        <f>Balanço!D15/Balanço!D42</f>
        <v>#DIV/0!</v>
      </c>
      <c r="D22" s="315" t="e">
        <f>Balanço!E15/Balanço!E42</f>
        <v>#DIV/0!</v>
      </c>
      <c r="E22" s="315">
        <f>Balanço!F15/Balanço!F42</f>
        <v>952.3809523809524</v>
      </c>
      <c r="F22" s="315">
        <f>Balanço!G15/Balanço!G42</f>
        <v>952.3809523809524</v>
      </c>
      <c r="G22" s="323">
        <f>Balanço!H15/Balanço!H42</f>
        <v>952.3809523809524</v>
      </c>
    </row>
    <row r="23" spans="1:7" ht="13.5" thickBot="1">
      <c r="A23" s="331" t="s">
        <v>10</v>
      </c>
      <c r="B23" s="324" t="e">
        <f>(Balanço!C17+Balanço!C18+Balanço!C19+Balanço!C20+Balanço!C21+Balanço!C22)/Balanço!C42</f>
        <v>#DIV/0!</v>
      </c>
      <c r="C23" s="324" t="e">
        <f>(Balanço!D17+Balanço!D18+Balanço!D19+Balanço!D20+Balanço!D21+Balanço!D22)/Balanço!D42</f>
        <v>#DIV/0!</v>
      </c>
      <c r="D23" s="324" t="e">
        <f>(Balanço!E17+Balanço!E18+Balanço!E19+Balanço!E20+Balanço!E21+Balanço!E22)/Balanço!E42</f>
        <v>#DIV/0!</v>
      </c>
      <c r="E23" s="324">
        <f>(Balanço!F17+Balanço!F18+Balanço!F19+Balanço!F20+Balanço!F21+Balanço!F22)/Balanço!F42</f>
        <v>952.3809523809524</v>
      </c>
      <c r="F23" s="324">
        <f>(Balanço!G17+Balanço!G18+Balanço!G19+Balanço!G20+Balanço!G21+Balanço!G22)/Balanço!G42</f>
        <v>952.3809523809524</v>
      </c>
      <c r="G23" s="325">
        <f>(Balanço!H17+Balanço!H18+Balanço!H19+Balanço!H20+Balanço!H21+Balanço!H22)/Balanço!H42</f>
        <v>952.3809523809524</v>
      </c>
    </row>
    <row r="24" spans="1:7" ht="13.5" thickBot="1">
      <c r="A24" s="54"/>
      <c r="B24" s="54"/>
      <c r="C24" s="54"/>
      <c r="D24" s="54"/>
      <c r="E24" s="54"/>
      <c r="F24" s="54"/>
      <c r="G24" s="54"/>
    </row>
    <row r="25" spans="1:7" ht="13.5" thickBot="1">
      <c r="A25" s="316" t="s">
        <v>289</v>
      </c>
      <c r="B25" s="317">
        <f aca="true" t="shared" si="3" ref="B25:G25">+B6</f>
        <v>2019</v>
      </c>
      <c r="C25" s="317">
        <f t="shared" si="3"/>
        <v>2020</v>
      </c>
      <c r="D25" s="317">
        <f t="shared" si="3"/>
        <v>2021</v>
      </c>
      <c r="E25" s="317">
        <f t="shared" si="3"/>
        <v>2022</v>
      </c>
      <c r="F25" s="317">
        <f t="shared" si="3"/>
        <v>2023</v>
      </c>
      <c r="G25" s="318">
        <f t="shared" si="3"/>
        <v>2024</v>
      </c>
    </row>
    <row r="26" spans="1:7" ht="12.75">
      <c r="A26" s="331" t="s">
        <v>47</v>
      </c>
      <c r="B26" s="212">
        <f>'DR'!B8-'DR'!B11-'DR'!B13-'DR'!B14</f>
        <v>0</v>
      </c>
      <c r="C26" s="212">
        <f>'DR'!C8-'DR'!C11-'DR'!C13-'DR'!C14</f>
        <v>0</v>
      </c>
      <c r="D26" s="212">
        <f>'DR'!D8-'DR'!D11-'DR'!D13-'DR'!D14</f>
        <v>0</v>
      </c>
      <c r="E26" s="212">
        <f>'DR'!E8-'DR'!E11-'DR'!E13-'DR'!E14</f>
        <v>0</v>
      </c>
      <c r="F26" s="212">
        <f>'DR'!F8-'DR'!F11-'DR'!F13-'DR'!F14</f>
        <v>0</v>
      </c>
      <c r="G26" s="319">
        <f>'DR'!G8-'DR'!G11-'DR'!G13-'DR'!G14</f>
        <v>0</v>
      </c>
    </row>
    <row r="27" spans="1:7" ht="12.75">
      <c r="A27" s="331" t="s">
        <v>121</v>
      </c>
      <c r="B27" s="173" t="e">
        <f>+B26/'DR'!B26</f>
        <v>#DIV/0!</v>
      </c>
      <c r="C27" s="173" t="e">
        <f>+C26/'DR'!C26</f>
        <v>#DIV/0!</v>
      </c>
      <c r="D27" s="173" t="e">
        <f>+D26/'DR'!D26</f>
        <v>#DIV/0!</v>
      </c>
      <c r="E27" s="173" t="e">
        <f>+E26/'DR'!E26</f>
        <v>#DIV/0!</v>
      </c>
      <c r="F27" s="173" t="e">
        <f>+F26/'DR'!F26</f>
        <v>#DIV/0!</v>
      </c>
      <c r="G27" s="320" t="e">
        <f>+G26/'DR'!G26</f>
        <v>#DIV/0!</v>
      </c>
    </row>
    <row r="28" spans="1:7" ht="13.5" thickBot="1">
      <c r="A28" s="331" t="s">
        <v>200</v>
      </c>
      <c r="B28" s="321" t="e">
        <f>+'DR'!B26/'DR'!B29</f>
        <v>#DIV/0!</v>
      </c>
      <c r="C28" s="321" t="e">
        <f>+'DR'!C26/'DR'!C29</f>
        <v>#DIV/0!</v>
      </c>
      <c r="D28" s="321" t="e">
        <f>+'DR'!D26/'DR'!D29</f>
        <v>#DIV/0!</v>
      </c>
      <c r="E28" s="321">
        <f>+'DR'!E26/'DR'!E29</f>
        <v>0</v>
      </c>
      <c r="F28" s="321">
        <f>+'DR'!F26/'DR'!F29</f>
        <v>0</v>
      </c>
      <c r="G28" s="322">
        <f>+'DR'!G26/'DR'!G29</f>
        <v>0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103"/>
  <sheetViews>
    <sheetView showGridLines="0" tabSelected="1" zoomScalePageLayoutView="0" workbookViewId="0" topLeftCell="A61">
      <selection activeCell="L85" sqref="L85"/>
    </sheetView>
  </sheetViews>
  <sheetFormatPr defaultColWidth="8.7109375" defaultRowHeight="12.75"/>
  <cols>
    <col min="1" max="1" width="38.00390625" style="62" customWidth="1"/>
    <col min="2" max="2" width="17.140625" style="62" customWidth="1"/>
    <col min="3" max="9" width="11.421875" style="62" customWidth="1"/>
    <col min="10" max="10" width="10.00390625" style="62" customWidth="1"/>
    <col min="11" max="11" width="11.8515625" style="62" customWidth="1"/>
    <col min="12" max="13" width="8.7109375" style="62" customWidth="1"/>
    <col min="14" max="14" width="14.8515625" style="62" customWidth="1"/>
    <col min="15" max="15" width="9.28125" style="62" customWidth="1"/>
    <col min="16" max="16384" width="8.7109375" style="62" customWidth="1"/>
  </cols>
  <sheetData>
    <row r="1" spans="1:10" ht="12.75">
      <c r="A1" s="54"/>
      <c r="B1" s="54"/>
      <c r="C1" s="48"/>
      <c r="D1" s="48"/>
      <c r="E1" s="48"/>
      <c r="F1" s="48"/>
      <c r="G1" s="48"/>
      <c r="H1" s="445" t="str">
        <f>+VN!G1</f>
        <v>Empresa:</v>
      </c>
      <c r="I1" s="446" t="str">
        <f>+Pressupostos!E1</f>
        <v>XFCP Lda</v>
      </c>
      <c r="J1" s="228"/>
    </row>
    <row r="2" spans="1:9" ht="12.75">
      <c r="A2" s="54"/>
      <c r="B2" s="54"/>
      <c r="C2" s="54"/>
      <c r="D2" s="54"/>
      <c r="E2" s="54"/>
      <c r="F2" s="54"/>
      <c r="G2" s="54"/>
      <c r="H2" s="54"/>
      <c r="I2" s="5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5.75">
      <c r="A4" s="613" t="s">
        <v>295</v>
      </c>
      <c r="B4" s="613"/>
      <c r="C4" s="613"/>
      <c r="D4" s="613"/>
      <c r="E4" s="613"/>
      <c r="F4" s="613"/>
      <c r="G4" s="613"/>
      <c r="H4" s="613"/>
      <c r="I4" s="613"/>
    </row>
    <row r="5" spans="1:9" ht="12.75">
      <c r="A5" s="54"/>
      <c r="B5" s="54"/>
      <c r="C5" s="54"/>
      <c r="D5" s="54"/>
      <c r="E5" s="54"/>
      <c r="F5" s="54"/>
      <c r="G5" s="54"/>
      <c r="H5" s="54"/>
      <c r="I5" s="5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14" ht="13.5">
      <c r="A7" s="682" t="s">
        <v>476</v>
      </c>
      <c r="B7" s="679"/>
      <c r="C7" s="51">
        <f aca="true" t="shared" si="0" ref="C7:I7">+C27</f>
        <v>2019</v>
      </c>
      <c r="D7" s="51">
        <f t="shared" si="0"/>
        <v>2020</v>
      </c>
      <c r="E7" s="51">
        <f t="shared" si="0"/>
        <v>2021</v>
      </c>
      <c r="F7" s="51">
        <f t="shared" si="0"/>
        <v>2022</v>
      </c>
      <c r="G7" s="51">
        <f t="shared" si="0"/>
        <v>2023</v>
      </c>
      <c r="H7" s="51">
        <f t="shared" si="0"/>
        <v>2024</v>
      </c>
      <c r="I7" s="51">
        <f t="shared" si="0"/>
        <v>2025</v>
      </c>
      <c r="K7" s="355"/>
      <c r="L7" s="355" t="s">
        <v>0</v>
      </c>
      <c r="M7" s="355" t="s">
        <v>1</v>
      </c>
      <c r="N7" s="355"/>
    </row>
    <row r="8" spans="1:14" ht="12.75" customHeight="1">
      <c r="A8" s="125"/>
      <c r="B8" s="125"/>
      <c r="C8" s="229"/>
      <c r="D8" s="229"/>
      <c r="E8" s="229"/>
      <c r="F8" s="229"/>
      <c r="G8" s="229"/>
      <c r="H8" s="229"/>
      <c r="I8" s="229"/>
      <c r="J8" s="680" t="s">
        <v>215</v>
      </c>
      <c r="K8" s="355" t="s">
        <v>17</v>
      </c>
      <c r="L8" s="356">
        <f>+C14</f>
        <v>0</v>
      </c>
      <c r="M8" s="356">
        <f>+L8</f>
        <v>0</v>
      </c>
      <c r="N8" s="357" t="b">
        <f aca="true" t="shared" si="1" ref="N8:N13">IF(M8&gt;0,M8/L8*12)</f>
        <v>0</v>
      </c>
    </row>
    <row r="9" spans="1:14" ht="12.75">
      <c r="A9" s="63" t="s">
        <v>87</v>
      </c>
      <c r="B9" s="71"/>
      <c r="C9" s="230">
        <f aca="true" t="shared" si="2" ref="C9:H9">+C29</f>
        <v>0</v>
      </c>
      <c r="D9" s="230">
        <f t="shared" si="2"/>
        <v>0</v>
      </c>
      <c r="E9" s="230">
        <f t="shared" si="2"/>
        <v>0</v>
      </c>
      <c r="F9" s="230">
        <f t="shared" si="2"/>
        <v>0</v>
      </c>
      <c r="G9" s="230">
        <f t="shared" si="2"/>
        <v>0</v>
      </c>
      <c r="H9" s="230">
        <f t="shared" si="2"/>
        <v>0</v>
      </c>
      <c r="I9" s="547">
        <f>+N20</f>
        <v>0</v>
      </c>
      <c r="J9" s="680"/>
      <c r="K9" s="355" t="s">
        <v>18</v>
      </c>
      <c r="L9" s="356">
        <f>+D14</f>
        <v>0</v>
      </c>
      <c r="M9" s="356">
        <f>+M8+L9</f>
        <v>0</v>
      </c>
      <c r="N9" s="358" t="b">
        <f t="shared" si="1"/>
        <v>0</v>
      </c>
    </row>
    <row r="10" spans="1:14" ht="12.75">
      <c r="A10" s="231"/>
      <c r="B10" s="57"/>
      <c r="C10" s="232"/>
      <c r="D10" s="232"/>
      <c r="E10" s="232"/>
      <c r="F10" s="232"/>
      <c r="G10" s="232"/>
      <c r="H10" s="232"/>
      <c r="I10" s="410"/>
      <c r="J10" s="680"/>
      <c r="K10" s="355" t="s">
        <v>19</v>
      </c>
      <c r="L10" s="356">
        <f>+E14</f>
        <v>0</v>
      </c>
      <c r="M10" s="356">
        <f>+M9+L10</f>
        <v>0</v>
      </c>
      <c r="N10" s="358" t="b">
        <f t="shared" si="1"/>
        <v>0</v>
      </c>
    </row>
    <row r="11" spans="1:14" ht="12.75">
      <c r="A11" s="521" t="s">
        <v>456</v>
      </c>
      <c r="B11" s="524"/>
      <c r="C11" s="523">
        <f>+C70</f>
        <v>0</v>
      </c>
      <c r="D11" s="523">
        <f aca="true" t="shared" si="3" ref="D11:I11">+D70</f>
        <v>0</v>
      </c>
      <c r="E11" s="523">
        <f t="shared" si="3"/>
        <v>0</v>
      </c>
      <c r="F11" s="523">
        <f t="shared" si="3"/>
        <v>0</v>
      </c>
      <c r="G11" s="523">
        <f t="shared" si="3"/>
        <v>0</v>
      </c>
      <c r="H11" s="523">
        <f t="shared" si="3"/>
        <v>0</v>
      </c>
      <c r="I11" s="577">
        <f t="shared" si="3"/>
        <v>0</v>
      </c>
      <c r="K11" s="355" t="s">
        <v>20</v>
      </c>
      <c r="L11" s="356">
        <f>+F14</f>
        <v>0</v>
      </c>
      <c r="M11" s="356">
        <f>+M10+L11</f>
        <v>0</v>
      </c>
      <c r="N11" s="359" t="b">
        <f t="shared" si="1"/>
        <v>0</v>
      </c>
    </row>
    <row r="12" spans="1:14" ht="12.75">
      <c r="A12" s="176" t="s">
        <v>296</v>
      </c>
      <c r="B12" s="234"/>
      <c r="C12" s="362">
        <v>1</v>
      </c>
      <c r="D12" s="236">
        <f>+C12*(1+D11)</f>
        <v>1</v>
      </c>
      <c r="E12" s="236">
        <f>+D12*(1+E11)</f>
        <v>1</v>
      </c>
      <c r="F12" s="236">
        <f>+E12*(1+F11)</f>
        <v>1</v>
      </c>
      <c r="G12" s="236">
        <f>+F12*(1+G11)</f>
        <v>1</v>
      </c>
      <c r="H12" s="236">
        <f>+G12*(1+H11)</f>
        <v>1</v>
      </c>
      <c r="I12" s="549">
        <f>+H12</f>
        <v>1</v>
      </c>
      <c r="K12" s="355" t="s">
        <v>21</v>
      </c>
      <c r="L12" s="356">
        <f>+G14</f>
        <v>0</v>
      </c>
      <c r="M12" s="356">
        <f>+M11+L12</f>
        <v>0</v>
      </c>
      <c r="N12" s="359" t="b">
        <f t="shared" si="1"/>
        <v>0</v>
      </c>
    </row>
    <row r="13" spans="9:14" ht="12.75">
      <c r="I13" s="415"/>
      <c r="K13" s="355" t="s">
        <v>22</v>
      </c>
      <c r="L13" s="356">
        <f>+H14</f>
        <v>0</v>
      </c>
      <c r="M13" s="356">
        <f>+M12+L13</f>
        <v>0</v>
      </c>
      <c r="N13" s="359" t="b">
        <f t="shared" si="1"/>
        <v>0</v>
      </c>
    </row>
    <row r="14" spans="1:9" ht="12.75">
      <c r="A14" s="63" t="s">
        <v>292</v>
      </c>
      <c r="B14" s="71"/>
      <c r="C14" s="230">
        <f aca="true" t="shared" si="4" ref="C14:I14">+C9/C12</f>
        <v>0</v>
      </c>
      <c r="D14" s="230">
        <f t="shared" si="4"/>
        <v>0</v>
      </c>
      <c r="E14" s="230">
        <f>+E9/E12</f>
        <v>0</v>
      </c>
      <c r="F14" s="230">
        <f t="shared" si="4"/>
        <v>0</v>
      </c>
      <c r="G14" s="230">
        <f t="shared" si="4"/>
        <v>0</v>
      </c>
      <c r="H14" s="230">
        <f t="shared" si="4"/>
        <v>0</v>
      </c>
      <c r="I14" s="574">
        <f t="shared" si="4"/>
        <v>0</v>
      </c>
    </row>
    <row r="15" spans="1:9" ht="12.75">
      <c r="A15" s="54"/>
      <c r="B15" s="125"/>
      <c r="C15" s="238"/>
      <c r="D15" s="54"/>
      <c r="E15" s="54"/>
      <c r="F15" s="54"/>
      <c r="G15" s="229"/>
      <c r="H15" s="229"/>
      <c r="I15" s="548"/>
    </row>
    <row r="16" spans="1:9" ht="12.75">
      <c r="A16" s="63" t="s">
        <v>297</v>
      </c>
      <c r="B16" s="71"/>
      <c r="C16" s="230">
        <f>+C14</f>
        <v>0</v>
      </c>
      <c r="D16" s="230">
        <f>+C16+D14</f>
        <v>0</v>
      </c>
      <c r="E16" s="230">
        <f>+D16+E14</f>
        <v>0</v>
      </c>
      <c r="F16" s="230">
        <f>+E16+F14</f>
        <v>0</v>
      </c>
      <c r="G16" s="230">
        <f>+F16+G14</f>
        <v>0</v>
      </c>
      <c r="H16" s="230">
        <f>+G16+H14+I14</f>
        <v>0</v>
      </c>
      <c r="I16" s="574" t="s">
        <v>504</v>
      </c>
    </row>
    <row r="17" spans="1:14" ht="12.75">
      <c r="A17" s="54"/>
      <c r="B17" s="125"/>
      <c r="C17" s="238"/>
      <c r="D17" s="54"/>
      <c r="E17" s="54"/>
      <c r="F17" s="54"/>
      <c r="G17" s="229"/>
      <c r="H17" s="229"/>
      <c r="I17" s="229"/>
      <c r="K17" s="490" t="s">
        <v>209</v>
      </c>
      <c r="L17" s="387"/>
      <c r="M17" s="69"/>
      <c r="N17" s="69"/>
    </row>
    <row r="18" spans="1:14" ht="13.5">
      <c r="A18" s="258" t="s">
        <v>290</v>
      </c>
      <c r="B18" s="259"/>
      <c r="C18" s="420" t="str">
        <f>+I16</f>
        <v>***</v>
      </c>
      <c r="D18" s="261"/>
      <c r="E18" s="262"/>
      <c r="F18" s="263"/>
      <c r="G18" s="264"/>
      <c r="H18" s="261"/>
      <c r="I18" s="261"/>
      <c r="K18" s="532" t="s">
        <v>471</v>
      </c>
      <c r="L18" s="389"/>
      <c r="M18" s="389"/>
      <c r="N18" s="388">
        <f>($H$9*(1+Pressupostos!$B$38))/(Avaliação!$I$11-Pressupostos!$B$38)</f>
        <v>0</v>
      </c>
    </row>
    <row r="19" spans="1:14" ht="12.75">
      <c r="A19" s="54"/>
      <c r="B19" s="242"/>
      <c r="C19" s="229"/>
      <c r="D19" s="229"/>
      <c r="E19" s="229"/>
      <c r="F19" s="229"/>
      <c r="G19" s="229"/>
      <c r="H19" s="229"/>
      <c r="I19" s="229"/>
      <c r="K19" s="492" t="s">
        <v>210</v>
      </c>
      <c r="L19" s="266"/>
      <c r="M19" s="266"/>
      <c r="N19" s="365"/>
    </row>
    <row r="20" spans="1:14" ht="12.75" customHeight="1">
      <c r="A20" s="63" t="s">
        <v>291</v>
      </c>
      <c r="B20" s="71"/>
      <c r="C20" s="421" t="e">
        <f>IRR(C9:I9,0.1)</f>
        <v>#NUM!</v>
      </c>
      <c r="D20" s="244"/>
      <c r="E20" s="244"/>
      <c r="F20" s="244"/>
      <c r="G20" s="244"/>
      <c r="H20" s="229"/>
      <c r="I20" s="229"/>
      <c r="K20" s="685" t="s">
        <v>505</v>
      </c>
      <c r="L20" s="685"/>
      <c r="M20" s="685"/>
      <c r="N20" s="676">
        <f>(+Balanço!$H$9+FundoManeio!$H$22)</f>
        <v>0</v>
      </c>
    </row>
    <row r="21" spans="1:14" ht="12.75">
      <c r="A21" s="54"/>
      <c r="B21" s="54"/>
      <c r="C21" s="363"/>
      <c r="D21" s="54"/>
      <c r="E21" s="54"/>
      <c r="F21" s="54"/>
      <c r="G21" s="54"/>
      <c r="H21" s="54"/>
      <c r="I21" s="54"/>
      <c r="K21" s="685"/>
      <c r="L21" s="685"/>
      <c r="M21" s="685"/>
      <c r="N21" s="677"/>
    </row>
    <row r="22" spans="1:15" ht="12.75">
      <c r="A22" s="63" t="s">
        <v>439</v>
      </c>
      <c r="B22" s="409" t="s">
        <v>3</v>
      </c>
      <c r="C22" s="496">
        <f>COUNTIF(N8:N13,"falso")</f>
        <v>6</v>
      </c>
      <c r="D22" s="409" t="s">
        <v>443</v>
      </c>
      <c r="E22" s="422"/>
      <c r="F22" s="54"/>
      <c r="G22" s="54"/>
      <c r="H22" s="54"/>
      <c r="I22" s="54"/>
      <c r="J22" s="495" t="s">
        <v>453</v>
      </c>
      <c r="K22" s="495"/>
      <c r="L22" s="495"/>
      <c r="M22" s="495"/>
      <c r="N22" s="495"/>
      <c r="O22" s="495"/>
    </row>
    <row r="23" spans="1:9" ht="12.75">
      <c r="A23" s="231"/>
      <c r="B23" s="57"/>
      <c r="C23" s="232"/>
      <c r="D23" s="410"/>
      <c r="E23" s="489" t="s">
        <v>440</v>
      </c>
      <c r="F23" s="232"/>
      <c r="G23" s="232"/>
      <c r="H23" s="232"/>
      <c r="I23" s="232"/>
    </row>
    <row r="24" spans="1:9" ht="12.75">
      <c r="A24" s="364"/>
      <c r="B24" s="364"/>
      <c r="C24" s="364"/>
      <c r="D24" s="364"/>
      <c r="E24" s="364"/>
      <c r="F24" s="364"/>
      <c r="G24" s="364"/>
      <c r="H24" s="364"/>
      <c r="I24" s="364"/>
    </row>
    <row r="25" spans="1:9" ht="12.75">
      <c r="A25" s="364"/>
      <c r="B25" s="364"/>
      <c r="C25" s="364"/>
      <c r="D25" s="364"/>
      <c r="E25" s="364"/>
      <c r="F25" s="364"/>
      <c r="G25" s="364"/>
      <c r="H25" s="364"/>
      <c r="I25" s="364"/>
    </row>
    <row r="26" spans="1:9" ht="12.75">
      <c r="A26" s="231"/>
      <c r="B26" s="57"/>
      <c r="C26" s="232"/>
      <c r="D26" s="232"/>
      <c r="E26" s="232"/>
      <c r="F26" s="232"/>
      <c r="G26" s="232"/>
      <c r="H26" s="232"/>
      <c r="I26" s="232"/>
    </row>
    <row r="27" spans="1:15" ht="24" customHeight="1">
      <c r="A27" s="678" t="s">
        <v>506</v>
      </c>
      <c r="B27" s="679"/>
      <c r="C27" s="51">
        <f>+VN!C8</f>
        <v>2019</v>
      </c>
      <c r="D27" s="51">
        <f>+VN!D8</f>
        <v>2020</v>
      </c>
      <c r="E27" s="51">
        <f>+VN!E8</f>
        <v>2021</v>
      </c>
      <c r="F27" s="51">
        <f>+VN!F8</f>
        <v>2022</v>
      </c>
      <c r="G27" s="51">
        <f>+VN!G8</f>
        <v>2023</v>
      </c>
      <c r="H27" s="51">
        <f>+VN!H8</f>
        <v>2024</v>
      </c>
      <c r="I27" s="51">
        <f>+H27+1</f>
        <v>2025</v>
      </c>
      <c r="K27" s="355"/>
      <c r="L27" s="355" t="s">
        <v>0</v>
      </c>
      <c r="M27" s="355" t="s">
        <v>1</v>
      </c>
      <c r="N27" s="355"/>
      <c r="O27" s="69"/>
    </row>
    <row r="28" spans="1:15" ht="12.75">
      <c r="A28" s="125"/>
      <c r="B28" s="125"/>
      <c r="C28" s="229"/>
      <c r="D28" s="229"/>
      <c r="E28" s="229"/>
      <c r="F28" s="229"/>
      <c r="G28" s="229"/>
      <c r="H28" s="229"/>
      <c r="I28" s="229"/>
      <c r="J28" s="680" t="s">
        <v>215</v>
      </c>
      <c r="K28" s="355" t="s">
        <v>17</v>
      </c>
      <c r="L28" s="356">
        <f>+C34</f>
        <v>0</v>
      </c>
      <c r="M28" s="356">
        <f>+L28</f>
        <v>0</v>
      </c>
      <c r="N28" s="357" t="b">
        <f aca="true" t="shared" si="5" ref="N28:N33">IF(M28&gt;0,M28/L28*12)</f>
        <v>0</v>
      </c>
      <c r="O28" s="69"/>
    </row>
    <row r="29" spans="1:15" ht="12.75">
      <c r="A29" s="63" t="s">
        <v>87</v>
      </c>
      <c r="B29" s="71"/>
      <c r="C29" s="230">
        <f>+'Cash Flow'!C21</f>
        <v>0</v>
      </c>
      <c r="D29" s="230">
        <f>+'Cash Flow'!D21</f>
        <v>0</v>
      </c>
      <c r="E29" s="230">
        <f>+'Cash Flow'!E21</f>
        <v>0</v>
      </c>
      <c r="F29" s="230">
        <f>+'Cash Flow'!F21</f>
        <v>0</v>
      </c>
      <c r="G29" s="230">
        <f>+'Cash Flow'!G21</f>
        <v>0</v>
      </c>
      <c r="H29" s="230">
        <f>+'Cash Flow'!H21</f>
        <v>0</v>
      </c>
      <c r="I29" s="547">
        <f>+N39</f>
        <v>0</v>
      </c>
      <c r="J29" s="680"/>
      <c r="K29" s="355" t="s">
        <v>18</v>
      </c>
      <c r="L29" s="356" t="e">
        <f>+D34</f>
        <v>#DIV/0!</v>
      </c>
      <c r="M29" s="356" t="e">
        <f>+M28+L29</f>
        <v>#DIV/0!</v>
      </c>
      <c r="N29" s="358" t="e">
        <f t="shared" si="5"/>
        <v>#DIV/0!</v>
      </c>
      <c r="O29" s="69"/>
    </row>
    <row r="30" spans="1:15" ht="12.75">
      <c r="A30" s="231"/>
      <c r="B30" s="57"/>
      <c r="C30" s="232"/>
      <c r="D30" s="232"/>
      <c r="E30" s="232"/>
      <c r="F30" s="232"/>
      <c r="G30" s="232"/>
      <c r="H30" s="232"/>
      <c r="I30" s="232"/>
      <c r="J30" s="680"/>
      <c r="K30" s="355" t="s">
        <v>19</v>
      </c>
      <c r="L30" s="356" t="e">
        <f>+E34</f>
        <v>#DIV/0!</v>
      </c>
      <c r="M30" s="356" t="e">
        <f>+M29+L30</f>
        <v>#DIV/0!</v>
      </c>
      <c r="N30" s="358" t="e">
        <f t="shared" si="5"/>
        <v>#DIV/0!</v>
      </c>
      <c r="O30" s="69"/>
    </row>
    <row r="31" spans="1:15" ht="12.75">
      <c r="A31" s="522" t="s">
        <v>467</v>
      </c>
      <c r="B31" s="520"/>
      <c r="C31" s="523" t="e">
        <f aca="true" t="shared" si="6" ref="C31:H31">+C88</f>
        <v>#DIV/0!</v>
      </c>
      <c r="D31" s="523" t="e">
        <f t="shared" si="6"/>
        <v>#DIV/0!</v>
      </c>
      <c r="E31" s="523" t="e">
        <f t="shared" si="6"/>
        <v>#DIV/0!</v>
      </c>
      <c r="F31" s="523">
        <f t="shared" si="6"/>
        <v>0</v>
      </c>
      <c r="G31" s="523">
        <f t="shared" si="6"/>
        <v>0</v>
      </c>
      <c r="H31" s="523">
        <f t="shared" si="6"/>
        <v>0</v>
      </c>
      <c r="I31" s="549">
        <f>+H31</f>
        <v>0</v>
      </c>
      <c r="K31" s="355" t="s">
        <v>20</v>
      </c>
      <c r="L31" s="356" t="e">
        <f>+F34</f>
        <v>#DIV/0!</v>
      </c>
      <c r="M31" s="356" t="e">
        <f>+M30+L31</f>
        <v>#DIV/0!</v>
      </c>
      <c r="N31" s="359" t="e">
        <f t="shared" si="5"/>
        <v>#DIV/0!</v>
      </c>
      <c r="O31" s="69"/>
    </row>
    <row r="32" spans="1:15" ht="12.75">
      <c r="A32" s="419" t="s">
        <v>296</v>
      </c>
      <c r="B32" s="233"/>
      <c r="C32" s="498">
        <v>1</v>
      </c>
      <c r="D32" s="498" t="e">
        <f>+C32*(1+D31)</f>
        <v>#DIV/0!</v>
      </c>
      <c r="E32" s="498" t="e">
        <f>+D32*(1+E31)</f>
        <v>#DIV/0!</v>
      </c>
      <c r="F32" s="498" t="e">
        <f>+E32*(1+F31)</f>
        <v>#DIV/0!</v>
      </c>
      <c r="G32" s="498" t="e">
        <f>+F32*(1+G31)</f>
        <v>#DIV/0!</v>
      </c>
      <c r="H32" s="498" t="e">
        <f>+G32*(1+H31)</f>
        <v>#DIV/0!</v>
      </c>
      <c r="I32" s="549" t="e">
        <f>+H32</f>
        <v>#DIV/0!</v>
      </c>
      <c r="K32" s="355" t="s">
        <v>21</v>
      </c>
      <c r="L32" s="356" t="e">
        <f>+G34</f>
        <v>#DIV/0!</v>
      </c>
      <c r="M32" s="356" t="e">
        <f>+M31+L32</f>
        <v>#DIV/0!</v>
      </c>
      <c r="N32" s="359" t="e">
        <f t="shared" si="5"/>
        <v>#DIV/0!</v>
      </c>
      <c r="O32" s="69"/>
    </row>
    <row r="33" spans="1:15" ht="12.75">
      <c r="A33" s="54"/>
      <c r="B33" s="237"/>
      <c r="C33" s="237"/>
      <c r="D33" s="237"/>
      <c r="E33" s="237"/>
      <c r="F33" s="237"/>
      <c r="G33" s="237"/>
      <c r="H33" s="237"/>
      <c r="I33" s="237"/>
      <c r="K33" s="355" t="s">
        <v>22</v>
      </c>
      <c r="L33" s="356" t="e">
        <f>+H34</f>
        <v>#DIV/0!</v>
      </c>
      <c r="M33" s="356" t="e">
        <f>+M32+L33</f>
        <v>#DIV/0!</v>
      </c>
      <c r="N33" s="359" t="e">
        <f t="shared" si="5"/>
        <v>#DIV/0!</v>
      </c>
      <c r="O33" s="69"/>
    </row>
    <row r="34" spans="1:15" ht="12.75">
      <c r="A34" s="63" t="s">
        <v>292</v>
      </c>
      <c r="B34" s="71"/>
      <c r="C34" s="230">
        <f aca="true" t="shared" si="7" ref="C34:H34">+C29/C32</f>
        <v>0</v>
      </c>
      <c r="D34" s="230" t="e">
        <f t="shared" si="7"/>
        <v>#DIV/0!</v>
      </c>
      <c r="E34" s="230" t="e">
        <f t="shared" si="7"/>
        <v>#DIV/0!</v>
      </c>
      <c r="F34" s="230" t="e">
        <f t="shared" si="7"/>
        <v>#DIV/0!</v>
      </c>
      <c r="G34" s="230" t="e">
        <f t="shared" si="7"/>
        <v>#DIV/0!</v>
      </c>
      <c r="H34" s="230" t="e">
        <f t="shared" si="7"/>
        <v>#DIV/0!</v>
      </c>
      <c r="I34" s="578" t="e">
        <f>+I29/I32</f>
        <v>#DIV/0!</v>
      </c>
      <c r="K34" s="69"/>
      <c r="L34" s="69"/>
      <c r="M34" s="69"/>
      <c r="N34" s="69"/>
      <c r="O34" s="69"/>
    </row>
    <row r="35" spans="1:15" ht="12.75">
      <c r="A35" s="54"/>
      <c r="B35" s="125"/>
      <c r="C35" s="238"/>
      <c r="D35" s="54"/>
      <c r="E35" s="54"/>
      <c r="F35" s="54"/>
      <c r="G35" s="229"/>
      <c r="H35" s="229"/>
      <c r="I35" s="229"/>
      <c r="K35" s="69"/>
      <c r="L35" s="69"/>
      <c r="M35" s="69"/>
      <c r="N35" s="69"/>
      <c r="O35" s="69"/>
    </row>
    <row r="36" spans="1:15" ht="12.75">
      <c r="A36" s="63" t="s">
        <v>297</v>
      </c>
      <c r="B36" s="71"/>
      <c r="C36" s="230">
        <f>+C34</f>
        <v>0</v>
      </c>
      <c r="D36" s="230" t="e">
        <f>+SUM($C$34:D34)</f>
        <v>#DIV/0!</v>
      </c>
      <c r="E36" s="230" t="e">
        <f>+SUM($C$34:E34)</f>
        <v>#DIV/0!</v>
      </c>
      <c r="F36" s="230" t="e">
        <f>+SUM($C$34:F34)</f>
        <v>#DIV/0!</v>
      </c>
      <c r="G36" s="230" t="e">
        <f>+SUM($C$34:G34)</f>
        <v>#DIV/0!</v>
      </c>
      <c r="H36" s="230" t="e">
        <f>+SUM($C$34:H34)+I34</f>
        <v>#DIV/0!</v>
      </c>
      <c r="I36" s="574" t="s">
        <v>504</v>
      </c>
      <c r="K36" s="490" t="s">
        <v>209</v>
      </c>
      <c r="L36" s="387"/>
      <c r="M36" s="69"/>
      <c r="N36" s="69"/>
      <c r="O36" s="69"/>
    </row>
    <row r="37" spans="1:15" ht="13.5">
      <c r="A37" s="54"/>
      <c r="B37" s="125"/>
      <c r="C37" s="238"/>
      <c r="D37" s="54"/>
      <c r="E37" s="54"/>
      <c r="F37" s="54"/>
      <c r="G37" s="229"/>
      <c r="H37" s="229"/>
      <c r="I37" s="229"/>
      <c r="K37" s="532" t="s">
        <v>471</v>
      </c>
      <c r="L37" s="389"/>
      <c r="M37" s="389"/>
      <c r="N37" s="388">
        <f>($H$29*(1+Pressupostos!$B$38))/(Avaliação!$I$31-Pressupostos!$B$38)</f>
        <v>0</v>
      </c>
      <c r="O37" s="69"/>
    </row>
    <row r="38" spans="1:15" s="265" customFormat="1" ht="12.75">
      <c r="A38" s="258" t="s">
        <v>290</v>
      </c>
      <c r="B38" s="259"/>
      <c r="C38" s="260" t="str">
        <f>+I36</f>
        <v>***</v>
      </c>
      <c r="D38" s="261"/>
      <c r="E38" s="262"/>
      <c r="F38" s="263"/>
      <c r="G38" s="264"/>
      <c r="H38" s="261"/>
      <c r="I38" s="261"/>
      <c r="K38" s="360" t="s">
        <v>210</v>
      </c>
      <c r="L38" s="266"/>
      <c r="M38" s="266"/>
      <c r="N38" s="365"/>
      <c r="O38" s="266"/>
    </row>
    <row r="39" spans="1:15" ht="12.75" customHeight="1">
      <c r="A39" s="54"/>
      <c r="B39" s="242"/>
      <c r="C39" s="229"/>
      <c r="D39" s="229"/>
      <c r="E39" s="229"/>
      <c r="F39" s="229"/>
      <c r="G39" s="229"/>
      <c r="H39" s="229"/>
      <c r="I39" s="229"/>
      <c r="K39" s="683" t="s">
        <v>452</v>
      </c>
      <c r="L39" s="683"/>
      <c r="M39" s="683"/>
      <c r="N39" s="676">
        <f>(+Balanço!$H$9+FundoManeio!$H$22)</f>
        <v>0</v>
      </c>
      <c r="O39" s="69"/>
    </row>
    <row r="40" spans="1:14" ht="12.75">
      <c r="A40" s="63" t="s">
        <v>291</v>
      </c>
      <c r="B40" s="71"/>
      <c r="C40" s="243" t="e">
        <f>IRR(C29:I29,0.1)</f>
        <v>#NUM!</v>
      </c>
      <c r="D40" s="244"/>
      <c r="E40" s="244"/>
      <c r="F40" s="244"/>
      <c r="G40" s="244"/>
      <c r="H40" s="229"/>
      <c r="I40" s="229"/>
      <c r="K40" s="683"/>
      <c r="L40" s="683"/>
      <c r="M40" s="683"/>
      <c r="N40" s="677"/>
    </row>
    <row r="41" spans="1:9" ht="12.75">
      <c r="A41" s="54"/>
      <c r="B41" s="54"/>
      <c r="C41" s="54"/>
      <c r="D41" s="54"/>
      <c r="E41" s="54"/>
      <c r="F41" s="54"/>
      <c r="G41" s="54"/>
      <c r="H41" s="54"/>
      <c r="I41" s="54"/>
    </row>
    <row r="42" spans="1:15" ht="12.75">
      <c r="A42" s="63" t="s">
        <v>439</v>
      </c>
      <c r="B42" s="71" t="s">
        <v>3</v>
      </c>
      <c r="C42" s="496">
        <f>COUNTIF(N28:N33,"falso")</f>
        <v>1</v>
      </c>
      <c r="D42" s="409" t="s">
        <v>443</v>
      </c>
      <c r="E42" s="422"/>
      <c r="F42" s="54"/>
      <c r="G42" s="54"/>
      <c r="H42" s="54"/>
      <c r="I42" s="54"/>
      <c r="J42" s="495" t="s">
        <v>453</v>
      </c>
      <c r="K42" s="495"/>
      <c r="L42" s="495"/>
      <c r="M42" s="495"/>
      <c r="N42" s="495"/>
      <c r="O42" s="495"/>
    </row>
    <row r="43" spans="1:9" ht="12.75">
      <c r="A43" s="54"/>
      <c r="B43" s="54"/>
      <c r="C43" s="54"/>
      <c r="D43" s="232"/>
      <c r="E43" s="489" t="s">
        <v>440</v>
      </c>
      <c r="F43" s="54"/>
      <c r="G43" s="54"/>
      <c r="H43" s="54"/>
      <c r="I43" s="54"/>
    </row>
    <row r="44" spans="1:9" ht="12.75">
      <c r="A44" s="364"/>
      <c r="B44" s="364"/>
      <c r="C44" s="364"/>
      <c r="D44" s="364"/>
      <c r="E44" s="364"/>
      <c r="F44" s="364"/>
      <c r="G44" s="364"/>
      <c r="H44" s="364"/>
      <c r="I44" s="364"/>
    </row>
    <row r="45" spans="1:9" ht="12.75">
      <c r="A45" s="364"/>
      <c r="B45" s="364"/>
      <c r="C45" s="364"/>
      <c r="D45" s="364"/>
      <c r="E45" s="364"/>
      <c r="F45" s="364"/>
      <c r="G45" s="364"/>
      <c r="H45" s="364"/>
      <c r="I45" s="364"/>
    </row>
    <row r="46" spans="1:9" ht="12.75">
      <c r="A46" s="54"/>
      <c r="B46" s="54"/>
      <c r="C46" s="54"/>
      <c r="D46" s="54"/>
      <c r="E46" s="54"/>
      <c r="F46" s="54"/>
      <c r="G46" s="54"/>
      <c r="H46" s="54"/>
      <c r="I46" s="54"/>
    </row>
    <row r="47" spans="1:14" ht="13.5">
      <c r="A47" s="682" t="s">
        <v>472</v>
      </c>
      <c r="B47" s="679"/>
      <c r="C47" s="51">
        <f>+VN!C8</f>
        <v>2019</v>
      </c>
      <c r="D47" s="51">
        <f>+VN!D8</f>
        <v>2020</v>
      </c>
      <c r="E47" s="51">
        <f>+VN!E8</f>
        <v>2021</v>
      </c>
      <c r="F47" s="51">
        <f>+VN!F8</f>
        <v>2022</v>
      </c>
      <c r="G47" s="51">
        <f>+VN!G8</f>
        <v>2023</v>
      </c>
      <c r="H47" s="51">
        <f>+VN!H8</f>
        <v>2024</v>
      </c>
      <c r="I47" s="51">
        <f>H47+1</f>
        <v>2025</v>
      </c>
      <c r="K47" s="355"/>
      <c r="L47" s="355" t="s">
        <v>0</v>
      </c>
      <c r="M47" s="355" t="s">
        <v>1</v>
      </c>
      <c r="N47" s="355"/>
    </row>
    <row r="48" spans="1:14" ht="12.75" customHeight="1">
      <c r="A48" s="54"/>
      <c r="B48" s="125"/>
      <c r="C48" s="229"/>
      <c r="D48" s="229"/>
      <c r="E48" s="229"/>
      <c r="F48" s="229"/>
      <c r="G48" s="229"/>
      <c r="H48" s="229"/>
      <c r="I48" s="229"/>
      <c r="J48" s="680" t="s">
        <v>215</v>
      </c>
      <c r="K48" s="355" t="s">
        <v>17</v>
      </c>
      <c r="L48" s="356">
        <f>+C54</f>
        <v>0</v>
      </c>
      <c r="M48" s="356">
        <f>+L48</f>
        <v>0</v>
      </c>
      <c r="N48" s="357" t="b">
        <f aca="true" t="shared" si="8" ref="N48:N53">IF(M48&gt;0,M48/L48*12)</f>
        <v>0</v>
      </c>
    </row>
    <row r="49" spans="1:14" ht="12.75">
      <c r="A49" s="63" t="s">
        <v>457</v>
      </c>
      <c r="B49" s="71"/>
      <c r="C49" s="230">
        <f>+'Cash Flow'!C21+PlanoFinanceiro!C12-PlanoFinanceiro!C23-'DR'!B28*(1-Pressupostos!$B$29)</f>
        <v>0</v>
      </c>
      <c r="D49" s="230">
        <f>+'Cash Flow'!D21+PlanoFinanceiro!D12-PlanoFinanceiro!D23-'DR'!C28*(1-Pressupostos!$B$29)</f>
        <v>0</v>
      </c>
      <c r="E49" s="230">
        <f>+'Cash Flow'!E21+PlanoFinanceiro!E12-PlanoFinanceiro!E23-'DR'!D28*(1-Pressupostos!$B$29)</f>
        <v>0</v>
      </c>
      <c r="F49" s="230">
        <f>+'Cash Flow'!F21+PlanoFinanceiro!F12-PlanoFinanceiro!F23-'DR'!E28*(1-Pressupostos!$B$29)</f>
        <v>0</v>
      </c>
      <c r="G49" s="230">
        <f>+'Cash Flow'!G21+PlanoFinanceiro!G12-PlanoFinanceiro!G23-'DR'!F28*(1-Pressupostos!$B$29)</f>
        <v>0</v>
      </c>
      <c r="H49" s="230">
        <f>+'Cash Flow'!H21+PlanoFinanceiro!H12-PlanoFinanceiro!H23-'DR'!G28*(1-Pressupostos!$B$29)</f>
        <v>0</v>
      </c>
      <c r="I49" s="547">
        <f>+N60</f>
        <v>1.1496013030409814E-13</v>
      </c>
      <c r="J49" s="680"/>
      <c r="K49" s="355" t="s">
        <v>18</v>
      </c>
      <c r="L49" s="356">
        <f>+D54</f>
        <v>0</v>
      </c>
      <c r="M49" s="356">
        <f>+M48+L49</f>
        <v>0</v>
      </c>
      <c r="N49" s="361" t="b">
        <f t="shared" si="8"/>
        <v>0</v>
      </c>
    </row>
    <row r="50" spans="1:14" ht="12.75">
      <c r="A50" s="54"/>
      <c r="B50" s="237"/>
      <c r="C50" s="237"/>
      <c r="D50" s="237"/>
      <c r="E50" s="237"/>
      <c r="F50" s="237"/>
      <c r="G50" s="237"/>
      <c r="H50" s="237"/>
      <c r="I50" s="237"/>
      <c r="J50" s="680"/>
      <c r="K50" s="355" t="s">
        <v>19</v>
      </c>
      <c r="L50" s="356">
        <f>+E54</f>
        <v>0</v>
      </c>
      <c r="M50" s="356">
        <f>+M49+L50</f>
        <v>0</v>
      </c>
      <c r="N50" s="361" t="b">
        <f t="shared" si="8"/>
        <v>0</v>
      </c>
    </row>
    <row r="51" spans="1:14" ht="12.75">
      <c r="A51" s="522" t="s">
        <v>475</v>
      </c>
      <c r="B51" s="530"/>
      <c r="C51" s="531">
        <f>+C70</f>
        <v>0</v>
      </c>
      <c r="D51" s="531">
        <f aca="true" t="shared" si="9" ref="D51:I51">+D70</f>
        <v>0</v>
      </c>
      <c r="E51" s="531">
        <f t="shared" si="9"/>
        <v>0</v>
      </c>
      <c r="F51" s="531">
        <f t="shared" si="9"/>
        <v>0</v>
      </c>
      <c r="G51" s="531">
        <f t="shared" si="9"/>
        <v>0</v>
      </c>
      <c r="H51" s="531">
        <f t="shared" si="9"/>
        <v>0</v>
      </c>
      <c r="I51" s="531">
        <f t="shared" si="9"/>
        <v>0</v>
      </c>
      <c r="K51" s="355" t="s">
        <v>20</v>
      </c>
      <c r="L51" s="356">
        <f>+F54</f>
        <v>0</v>
      </c>
      <c r="M51" s="356">
        <f>+M50+L51</f>
        <v>0</v>
      </c>
      <c r="N51" s="359" t="b">
        <f t="shared" si="8"/>
        <v>0</v>
      </c>
    </row>
    <row r="52" spans="1:14" ht="12.75">
      <c r="A52" s="117" t="s">
        <v>296</v>
      </c>
      <c r="B52" s="233"/>
      <c r="C52" s="235">
        <v>1</v>
      </c>
      <c r="D52" s="236">
        <f>+C52*(1+D51)</f>
        <v>1</v>
      </c>
      <c r="E52" s="236">
        <f>+D52*(1+E51)</f>
        <v>1</v>
      </c>
      <c r="F52" s="236">
        <f>+E52*(1+F51)</f>
        <v>1</v>
      </c>
      <c r="G52" s="236">
        <f>+F52*(1+G51)</f>
        <v>1</v>
      </c>
      <c r="H52" s="236">
        <f>+G52*(1+H51)</f>
        <v>1</v>
      </c>
      <c r="I52" s="549">
        <f>+H52</f>
        <v>1</v>
      </c>
      <c r="K52" s="355" t="s">
        <v>21</v>
      </c>
      <c r="L52" s="356">
        <f>+G54</f>
        <v>0</v>
      </c>
      <c r="M52" s="356">
        <f>+M51+L52</f>
        <v>0</v>
      </c>
      <c r="N52" s="359" t="b">
        <f t="shared" si="8"/>
        <v>0</v>
      </c>
    </row>
    <row r="53" spans="1:14" ht="12.75">
      <c r="A53" s="54"/>
      <c r="B53" s="237"/>
      <c r="C53" s="246"/>
      <c r="D53" s="247"/>
      <c r="E53" s="247"/>
      <c r="F53" s="247"/>
      <c r="G53" s="247"/>
      <c r="H53" s="247"/>
      <c r="I53" s="247"/>
      <c r="K53" s="355" t="s">
        <v>22</v>
      </c>
      <c r="L53" s="356">
        <f>+H54</f>
        <v>0</v>
      </c>
      <c r="M53" s="356">
        <f>+M52+L53</f>
        <v>0</v>
      </c>
      <c r="N53" s="359" t="b">
        <f t="shared" si="8"/>
        <v>0</v>
      </c>
    </row>
    <row r="54" spans="1:14" ht="12.75">
      <c r="A54" s="63" t="s">
        <v>292</v>
      </c>
      <c r="B54" s="71"/>
      <c r="C54" s="230">
        <f aca="true" t="shared" si="10" ref="C54:I54">+C49/C52</f>
        <v>0</v>
      </c>
      <c r="D54" s="230">
        <f t="shared" si="10"/>
        <v>0</v>
      </c>
      <c r="E54" s="230">
        <f t="shared" si="10"/>
        <v>0</v>
      </c>
      <c r="F54" s="230">
        <f t="shared" si="10"/>
        <v>0</v>
      </c>
      <c r="G54" s="230">
        <f t="shared" si="10"/>
        <v>0</v>
      </c>
      <c r="H54" s="230">
        <f t="shared" si="10"/>
        <v>0</v>
      </c>
      <c r="I54" s="230">
        <f t="shared" si="10"/>
        <v>1.1496013030409814E-13</v>
      </c>
      <c r="K54" s="69"/>
      <c r="L54" s="69"/>
      <c r="M54" s="69"/>
      <c r="N54" s="69"/>
    </row>
    <row r="55" spans="1:14" ht="12.75">
      <c r="A55" s="231"/>
      <c r="B55" s="57"/>
      <c r="C55" s="232"/>
      <c r="D55" s="232"/>
      <c r="E55" s="232"/>
      <c r="F55" s="232"/>
      <c r="G55" s="232"/>
      <c r="H55" s="232"/>
      <c r="I55" s="232"/>
      <c r="K55" s="69"/>
      <c r="L55" s="69"/>
      <c r="M55" s="69"/>
      <c r="N55" s="69"/>
    </row>
    <row r="56" spans="1:14" ht="12.75">
      <c r="A56" s="63" t="s">
        <v>297</v>
      </c>
      <c r="B56" s="71"/>
      <c r="C56" s="230">
        <f>+C54</f>
        <v>0</v>
      </c>
      <c r="D56" s="230">
        <f>+SUM($C$54:D54)</f>
        <v>0</v>
      </c>
      <c r="E56" s="230">
        <f>+SUM($C$54:E54)</f>
        <v>0</v>
      </c>
      <c r="F56" s="230">
        <f>+SUM($C$54:F54)</f>
        <v>0</v>
      </c>
      <c r="G56" s="230">
        <f>+SUM($C$54:G54)</f>
        <v>0</v>
      </c>
      <c r="H56" s="230">
        <f>+SUM($C$54:H54)</f>
        <v>0</v>
      </c>
      <c r="I56" s="230">
        <f>+SUM($C$54:I54)</f>
        <v>1.1496013030409814E-13</v>
      </c>
      <c r="K56" s="69"/>
      <c r="L56" s="69"/>
      <c r="M56" s="69"/>
      <c r="N56" s="69"/>
    </row>
    <row r="57" spans="1:14" ht="12.75">
      <c r="A57" s="54"/>
      <c r="B57" s="125"/>
      <c r="C57" s="238"/>
      <c r="D57" s="54"/>
      <c r="E57" s="54"/>
      <c r="F57" s="54"/>
      <c r="G57" s="229"/>
      <c r="H57" s="229"/>
      <c r="I57" s="229"/>
      <c r="K57" s="490" t="s">
        <v>209</v>
      </c>
      <c r="L57" s="387"/>
      <c r="M57" s="69"/>
      <c r="N57" s="69"/>
    </row>
    <row r="58" spans="1:14" ht="13.5">
      <c r="A58" s="63" t="s">
        <v>290</v>
      </c>
      <c r="B58" s="71"/>
      <c r="C58" s="230">
        <f>I56</f>
        <v>1.1496013030409814E-13</v>
      </c>
      <c r="D58" s="229"/>
      <c r="E58" s="487" t="s">
        <v>294</v>
      </c>
      <c r="F58" s="240"/>
      <c r="G58" s="241"/>
      <c r="H58" s="239"/>
      <c r="I58" s="239"/>
      <c r="K58" s="491" t="s">
        <v>451</v>
      </c>
      <c r="L58" s="389"/>
      <c r="M58" s="389"/>
      <c r="N58" s="388">
        <f>+($H$49*(1+Pressupostos!$B$38))/($I$51-Pressupostos!$B$38)</f>
        <v>0</v>
      </c>
    </row>
    <row r="59" spans="1:14" ht="12.75">
      <c r="A59" s="54"/>
      <c r="B59" s="242"/>
      <c r="C59" s="229"/>
      <c r="D59" s="229"/>
      <c r="E59" s="229"/>
      <c r="F59" s="229"/>
      <c r="G59" s="229"/>
      <c r="H59" s="229"/>
      <c r="I59" s="229"/>
      <c r="K59" s="492" t="s">
        <v>210</v>
      </c>
      <c r="L59" s="266"/>
      <c r="M59" s="266"/>
      <c r="N59" s="365"/>
    </row>
    <row r="60" spans="1:14" ht="12.75">
      <c r="A60" s="63" t="s">
        <v>291</v>
      </c>
      <c r="B60" s="71"/>
      <c r="C60" s="243" t="e">
        <f>IRR(C49:I49,0.1)</f>
        <v>#NUM!</v>
      </c>
      <c r="D60" s="244"/>
      <c r="E60" s="244"/>
      <c r="F60" s="244"/>
      <c r="G60" s="244"/>
      <c r="H60" s="229"/>
      <c r="I60" s="229"/>
      <c r="K60" s="684" t="s">
        <v>454</v>
      </c>
      <c r="L60" s="683"/>
      <c r="M60" s="683"/>
      <c r="N60" s="676">
        <f>+Balanço!H33/(H52*(1+I51))</f>
        <v>1.1496013030409814E-13</v>
      </c>
    </row>
    <row r="61" spans="1:14" ht="12.75">
      <c r="A61" s="54"/>
      <c r="B61" s="125"/>
      <c r="C61" s="244"/>
      <c r="D61" s="244"/>
      <c r="E61" s="244"/>
      <c r="F61" s="244"/>
      <c r="G61" s="244"/>
      <c r="H61" s="229"/>
      <c r="I61" s="229"/>
      <c r="J61" s="248"/>
      <c r="K61" s="683"/>
      <c r="L61" s="683"/>
      <c r="M61" s="683"/>
      <c r="N61" s="677"/>
    </row>
    <row r="62" spans="1:10" ht="12.75">
      <c r="A62" s="63" t="s">
        <v>439</v>
      </c>
      <c r="B62" s="409" t="s">
        <v>3</v>
      </c>
      <c r="C62" s="496">
        <f>COUNTIF(N48:N53,"falso")</f>
        <v>6</v>
      </c>
      <c r="D62" s="409" t="s">
        <v>443</v>
      </c>
      <c r="E62" s="422"/>
      <c r="F62" s="244"/>
      <c r="G62" s="244"/>
      <c r="H62" s="229"/>
      <c r="I62" s="229"/>
      <c r="J62" s="248"/>
    </row>
    <row r="63" spans="1:15" ht="9.75" customHeight="1">
      <c r="A63" s="54"/>
      <c r="B63" s="54"/>
      <c r="C63" s="54"/>
      <c r="D63" s="232"/>
      <c r="E63" s="489" t="s">
        <v>440</v>
      </c>
      <c r="F63" s="54"/>
      <c r="G63" s="54"/>
      <c r="H63" s="54"/>
      <c r="I63" s="54"/>
      <c r="J63" s="495" t="s">
        <v>453</v>
      </c>
      <c r="K63" s="495"/>
      <c r="L63" s="495"/>
      <c r="M63" s="495"/>
      <c r="N63" s="495"/>
      <c r="O63" s="495"/>
    </row>
    <row r="64" spans="1:15" ht="9.75" customHeight="1">
      <c r="A64" s="54"/>
      <c r="B64" s="54"/>
      <c r="C64" s="54"/>
      <c r="D64" s="232"/>
      <c r="E64" s="489"/>
      <c r="F64" s="54"/>
      <c r="G64" s="54"/>
      <c r="H64" s="54"/>
      <c r="I64" s="54"/>
      <c r="J64" s="495"/>
      <c r="K64" s="495"/>
      <c r="L64" s="495"/>
      <c r="M64" s="495"/>
      <c r="N64" s="495"/>
      <c r="O64" s="495"/>
    </row>
    <row r="65" spans="1:15" ht="9.75" customHeight="1">
      <c r="A65" s="54"/>
      <c r="B65" s="54"/>
      <c r="C65" s="54"/>
      <c r="D65" s="232"/>
      <c r="E65" s="489"/>
      <c r="F65" s="54"/>
      <c r="G65" s="54"/>
      <c r="H65" s="54"/>
      <c r="I65" s="54"/>
      <c r="J65" s="495"/>
      <c r="K65" s="495"/>
      <c r="L65" s="495"/>
      <c r="M65" s="495"/>
      <c r="N65" s="495"/>
      <c r="O65" s="495"/>
    </row>
    <row r="66" spans="1:9" ht="15.75">
      <c r="A66" s="525" t="s">
        <v>458</v>
      </c>
      <c r="B66" s="526"/>
      <c r="C66" s="526"/>
      <c r="D66" s="527"/>
      <c r="E66" s="528"/>
      <c r="F66" s="526"/>
      <c r="G66" s="526"/>
      <c r="H66" s="526"/>
      <c r="I66" s="526"/>
    </row>
    <row r="67" spans="1:14" ht="13.5">
      <c r="A67" s="516" t="s">
        <v>477</v>
      </c>
      <c r="B67" s="54"/>
      <c r="C67" s="54"/>
      <c r="D67" s="232"/>
      <c r="E67" s="489"/>
      <c r="F67" s="54"/>
      <c r="G67" s="54"/>
      <c r="H67" s="54"/>
      <c r="I67" s="54"/>
      <c r="J67" s="248"/>
      <c r="K67" s="69"/>
      <c r="L67" s="69"/>
      <c r="M67" s="69"/>
      <c r="N67" s="249"/>
    </row>
    <row r="68" spans="1:14" ht="12.75">
      <c r="A68" s="117" t="s">
        <v>298</v>
      </c>
      <c r="B68" s="233"/>
      <c r="C68" s="499">
        <f>+Pressupostos!B35</f>
        <v>0</v>
      </c>
      <c r="D68" s="500">
        <f>+C68*(1+VN!D$9)</f>
        <v>0</v>
      </c>
      <c r="E68" s="500">
        <f>+D68*(1+VN!E$9)</f>
        <v>0</v>
      </c>
      <c r="F68" s="500">
        <f>+E68*(1+VN!F$9)</f>
        <v>0</v>
      </c>
      <c r="G68" s="500">
        <f>+F68*(1+VN!G$9)</f>
        <v>0</v>
      </c>
      <c r="H68" s="500">
        <f>+G68*(1+VN!H$9)</f>
        <v>0</v>
      </c>
      <c r="I68" s="575">
        <f>+H68</f>
        <v>0</v>
      </c>
      <c r="J68" s="248"/>
      <c r="K68" s="69"/>
      <c r="L68" s="69"/>
      <c r="M68" s="69"/>
      <c r="N68" s="249"/>
    </row>
    <row r="69" spans="1:14" ht="12.75">
      <c r="A69" s="117" t="s">
        <v>299</v>
      </c>
      <c r="B69" s="233"/>
      <c r="C69" s="499">
        <f>+Pressupostos!B36</f>
        <v>0</v>
      </c>
      <c r="D69" s="499">
        <f aca="true" t="shared" si="11" ref="D69:I69">+C69</f>
        <v>0</v>
      </c>
      <c r="E69" s="499">
        <f t="shared" si="11"/>
        <v>0</v>
      </c>
      <c r="F69" s="499">
        <f t="shared" si="11"/>
        <v>0</v>
      </c>
      <c r="G69" s="499">
        <f t="shared" si="11"/>
        <v>0</v>
      </c>
      <c r="H69" s="499">
        <f t="shared" si="11"/>
        <v>0</v>
      </c>
      <c r="I69" s="575">
        <f t="shared" si="11"/>
        <v>0</v>
      </c>
      <c r="J69" s="248"/>
      <c r="K69" s="69"/>
      <c r="L69" s="69"/>
      <c r="M69" s="69"/>
      <c r="N69" s="249"/>
    </row>
    <row r="70" spans="1:9" ht="12.75">
      <c r="A70" s="515" t="s">
        <v>462</v>
      </c>
      <c r="B70" s="504"/>
      <c r="C70" s="517">
        <f>+C68+Pressupostos!$B$37*(Avaliação!C69)</f>
        <v>0</v>
      </c>
      <c r="D70" s="517">
        <f>+D68+Pressupostos!$B$37*(Avaliação!D69)</f>
        <v>0</v>
      </c>
      <c r="E70" s="517">
        <f>+E68+Pressupostos!$B$37*(Avaliação!E69)</f>
        <v>0</v>
      </c>
      <c r="F70" s="517">
        <f>+F68+Pressupostos!$B$37*(Avaliação!F69)</f>
        <v>0</v>
      </c>
      <c r="G70" s="517">
        <f>+G68+Pressupostos!$B$37*(Avaliação!G69)</f>
        <v>0</v>
      </c>
      <c r="H70" s="517">
        <f>+H68+Pressupostos!$B$37*(Avaliação!H69)</f>
        <v>0</v>
      </c>
      <c r="I70" s="575">
        <f>+H70</f>
        <v>0</v>
      </c>
    </row>
    <row r="71" spans="1:9" ht="12.75">
      <c r="A71" s="117" t="s">
        <v>296</v>
      </c>
      <c r="B71" s="233"/>
      <c r="C71" s="501">
        <v>1</v>
      </c>
      <c r="D71" s="502">
        <f>+C71*(1+D70)</f>
        <v>1</v>
      </c>
      <c r="E71" s="502">
        <f>+D71*(1+E70)</f>
        <v>1</v>
      </c>
      <c r="F71" s="502">
        <f>+E71*(1+F70)</f>
        <v>1</v>
      </c>
      <c r="G71" s="502">
        <f>+F71*(1+G70)</f>
        <v>1</v>
      </c>
      <c r="H71" s="502">
        <f>+G71*(1+H70)</f>
        <v>1</v>
      </c>
      <c r="I71" s="576" t="s">
        <v>211</v>
      </c>
    </row>
    <row r="72" spans="1:9" ht="13.5">
      <c r="A72" s="511" t="s">
        <v>8</v>
      </c>
      <c r="B72" s="54"/>
      <c r="C72" s="54"/>
      <c r="D72" s="54"/>
      <c r="E72" s="54"/>
      <c r="F72" s="54"/>
      <c r="G72" s="54"/>
      <c r="H72" s="54"/>
      <c r="I72" s="54"/>
    </row>
    <row r="73" spans="1:10" ht="12.75">
      <c r="A73" s="63" t="s">
        <v>463</v>
      </c>
      <c r="B73" s="71"/>
      <c r="C73" s="512">
        <f>+Pressupostos!$B$33</f>
        <v>0</v>
      </c>
      <c r="D73" s="512">
        <f>+Pressupostos!$B$33</f>
        <v>0</v>
      </c>
      <c r="E73" s="512">
        <f>+Pressupostos!$B$33</f>
        <v>0</v>
      </c>
      <c r="F73" s="512">
        <f>+Pressupostos!$B$33</f>
        <v>0</v>
      </c>
      <c r="G73" s="512">
        <f>+Pressupostos!$B$33</f>
        <v>0</v>
      </c>
      <c r="H73" s="512">
        <f>+Pressupostos!$B$33</f>
        <v>0</v>
      </c>
      <c r="I73" s="54"/>
      <c r="J73" s="248"/>
    </row>
    <row r="74" spans="1:10" ht="12.75">
      <c r="A74" s="63" t="s">
        <v>466</v>
      </c>
      <c r="B74" s="71"/>
      <c r="C74" s="512">
        <f>C73*(1-Pressupostos!$B$29)</f>
        <v>0</v>
      </c>
      <c r="D74" s="512">
        <f>D73*(1-Pressupostos!$B$29)</f>
        <v>0</v>
      </c>
      <c r="E74" s="512">
        <f>E73*(1-Pressupostos!$B$29)</f>
        <v>0</v>
      </c>
      <c r="F74" s="512">
        <f>F73*(1-Pressupostos!$B$29)</f>
        <v>0</v>
      </c>
      <c r="G74" s="512">
        <f>G73*(1-Pressupostos!$B$29)</f>
        <v>0</v>
      </c>
      <c r="H74" s="512">
        <f>H73*(1-Pressupostos!$B$29)</f>
        <v>0</v>
      </c>
      <c r="I74" s="54"/>
      <c r="J74" s="248"/>
    </row>
    <row r="75" spans="1:9" ht="12.75">
      <c r="A75" s="54"/>
      <c r="B75" s="54"/>
      <c r="C75" s="54"/>
      <c r="D75" s="54"/>
      <c r="E75" s="54"/>
      <c r="F75" s="54"/>
      <c r="G75" s="54"/>
      <c r="H75" s="54"/>
      <c r="I75" s="54"/>
    </row>
    <row r="76" spans="1:14" ht="13.5">
      <c r="A76" s="516" t="s">
        <v>468</v>
      </c>
      <c r="B76" s="245"/>
      <c r="C76" s="54"/>
      <c r="D76" s="54"/>
      <c r="E76" s="54"/>
      <c r="F76" s="54"/>
      <c r="G76" s="54"/>
      <c r="H76" s="54"/>
      <c r="I76" s="54"/>
      <c r="K76" s="69"/>
      <c r="L76" s="69"/>
      <c r="M76" s="69"/>
      <c r="N76" s="69"/>
    </row>
    <row r="77" spans="1:10" ht="12.75">
      <c r="A77" s="579" t="s">
        <v>465</v>
      </c>
      <c r="B77" s="507" t="s">
        <v>459</v>
      </c>
      <c r="C77" s="507">
        <f>+C27</f>
        <v>2019</v>
      </c>
      <c r="D77" s="508">
        <f>+C77+1</f>
        <v>2020</v>
      </c>
      <c r="E77" s="508">
        <f>+D77+1</f>
        <v>2021</v>
      </c>
      <c r="F77" s="508">
        <f>+E77+1</f>
        <v>2022</v>
      </c>
      <c r="G77" s="508">
        <f>+F77+1</f>
        <v>2023</v>
      </c>
      <c r="H77" s="508">
        <f>+G77+1</f>
        <v>2024</v>
      </c>
      <c r="I77" s="54"/>
      <c r="J77" s="248"/>
    </row>
    <row r="78" spans="1:10" ht="12.75">
      <c r="A78" s="580" t="s">
        <v>134</v>
      </c>
      <c r="B78" s="581">
        <f>+Financiamento!C18</f>
        <v>0</v>
      </c>
      <c r="C78" s="582">
        <f>IF('DR'!$B$8&gt;0,Avaliação!B78,+Balanço!C39+Balanço!C46)</f>
        <v>0</v>
      </c>
      <c r="D78" s="583">
        <f>Balanço!D39+Balanço!D46</f>
        <v>0</v>
      </c>
      <c r="E78" s="583">
        <f>Balanço!E39+Balanço!E46</f>
        <v>0</v>
      </c>
      <c r="F78" s="583">
        <f>Balanço!F39+Balanço!F46</f>
        <v>0</v>
      </c>
      <c r="G78" s="583">
        <f>Balanço!G39+Balanço!G46</f>
        <v>0</v>
      </c>
      <c r="H78" s="583">
        <f>Balanço!H39+Balanço!H46</f>
        <v>0</v>
      </c>
      <c r="I78" s="54"/>
      <c r="J78" s="248"/>
    </row>
    <row r="79" spans="1:16" ht="12.75">
      <c r="A79" s="580" t="s">
        <v>122</v>
      </c>
      <c r="B79" s="581">
        <f>+Financiamento!C15+Financiamento!C16</f>
        <v>0</v>
      </c>
      <c r="C79" s="582">
        <f>IF('DR'!$B$8&gt;0,Avaliação!B79,+Balanço!C33)</f>
        <v>0</v>
      </c>
      <c r="D79" s="583">
        <f>+Balanço!D33</f>
        <v>0</v>
      </c>
      <c r="E79" s="583">
        <f>+Balanço!E33</f>
        <v>0</v>
      </c>
      <c r="F79" s="583">
        <f>+Balanço!F33</f>
        <v>2.8740032576024535E-14</v>
      </c>
      <c r="G79" s="583">
        <f>+Balanço!G33</f>
        <v>5.748006515204907E-14</v>
      </c>
      <c r="H79" s="583">
        <f>+Balanço!H33</f>
        <v>1.1496013030409814E-13</v>
      </c>
      <c r="I79" s="54"/>
      <c r="J79" s="248"/>
      <c r="L79" s="69"/>
      <c r="M79" s="69"/>
      <c r="N79" s="69"/>
      <c r="O79" s="69"/>
      <c r="P79" s="69"/>
    </row>
    <row r="80" spans="1:10" ht="12.75">
      <c r="A80" s="584" t="s">
        <v>31</v>
      </c>
      <c r="B80" s="581">
        <f>SUM(B78:B79)</f>
        <v>0</v>
      </c>
      <c r="C80" s="582">
        <f aca="true" t="shared" si="12" ref="C80:H80">+C78+C79</f>
        <v>0</v>
      </c>
      <c r="D80" s="583">
        <f t="shared" si="12"/>
        <v>0</v>
      </c>
      <c r="E80" s="583">
        <f t="shared" si="12"/>
        <v>0</v>
      </c>
      <c r="F80" s="583">
        <f t="shared" si="12"/>
        <v>2.8740032576024535E-14</v>
      </c>
      <c r="G80" s="583">
        <f t="shared" si="12"/>
        <v>5.748006515204907E-14</v>
      </c>
      <c r="H80" s="583">
        <f t="shared" si="12"/>
        <v>1.1496013030409814E-13</v>
      </c>
      <c r="I80" s="54"/>
      <c r="J80" s="248"/>
    </row>
    <row r="81" spans="1:10" ht="12.75">
      <c r="A81" s="580" t="s">
        <v>293</v>
      </c>
      <c r="B81" s="585"/>
      <c r="C81" s="586" t="e">
        <f>+C78/C$80</f>
        <v>#DIV/0!</v>
      </c>
      <c r="D81" s="586" t="e">
        <f>+D78/D80</f>
        <v>#DIV/0!</v>
      </c>
      <c r="E81" s="586" t="e">
        <f>+E78/E80</f>
        <v>#DIV/0!</v>
      </c>
      <c r="F81" s="586">
        <f>+F78/F80</f>
        <v>0</v>
      </c>
      <c r="G81" s="586">
        <f>+G78/G80</f>
        <v>0</v>
      </c>
      <c r="H81" s="586">
        <f>+H78/H80</f>
        <v>0</v>
      </c>
      <c r="I81" s="54"/>
      <c r="J81" s="248"/>
    </row>
    <row r="82" spans="1:10" ht="12.75">
      <c r="A82" s="580" t="s">
        <v>133</v>
      </c>
      <c r="B82" s="585"/>
      <c r="C82" s="586" t="e">
        <f>+C79/C$80</f>
        <v>#DIV/0!</v>
      </c>
      <c r="D82" s="586" t="e">
        <f>+D79/D80</f>
        <v>#DIV/0!</v>
      </c>
      <c r="E82" s="586" t="e">
        <f>+E79/E80</f>
        <v>#DIV/0!</v>
      </c>
      <c r="F82" s="586">
        <f>+F79/F80</f>
        <v>1</v>
      </c>
      <c r="G82" s="586">
        <f>+G79/G80</f>
        <v>1</v>
      </c>
      <c r="H82" s="586">
        <f>+H79/H80</f>
        <v>1</v>
      </c>
      <c r="I82" s="54"/>
      <c r="J82" s="248"/>
    </row>
    <row r="83" spans="1:10" ht="12.75">
      <c r="A83" s="503"/>
      <c r="B83" s="529" t="s">
        <v>460</v>
      </c>
      <c r="C83" s="54"/>
      <c r="D83" s="54"/>
      <c r="E83" s="54"/>
      <c r="F83" s="54"/>
      <c r="G83" s="54"/>
      <c r="H83" s="54"/>
      <c r="I83" s="54"/>
      <c r="J83" s="248"/>
    </row>
    <row r="84" spans="1:10" ht="12.75">
      <c r="A84" s="503"/>
      <c r="B84" s="503"/>
      <c r="C84" s="54"/>
      <c r="D84" s="54"/>
      <c r="E84" s="54"/>
      <c r="F84" s="54"/>
      <c r="G84" s="54"/>
      <c r="H84" s="54"/>
      <c r="I84" s="54"/>
      <c r="J84" s="248"/>
    </row>
    <row r="85" spans="1:10" s="413" customFormat="1" ht="13.5">
      <c r="A85" s="516" t="s">
        <v>478</v>
      </c>
      <c r="B85" s="411"/>
      <c r="C85" s="414"/>
      <c r="D85" s="488"/>
      <c r="E85" s="411"/>
      <c r="F85" s="411"/>
      <c r="G85" s="411"/>
      <c r="H85" s="411"/>
      <c r="I85" s="411"/>
      <c r="J85" s="248"/>
    </row>
    <row r="86" spans="1:10" s="413" customFormat="1" ht="12.75">
      <c r="A86" s="126" t="s">
        <v>461</v>
      </c>
      <c r="B86" s="233"/>
      <c r="C86" s="499">
        <f aca="true" t="shared" si="13" ref="C86:I86">+C70</f>
        <v>0</v>
      </c>
      <c r="D86" s="499">
        <f t="shared" si="13"/>
        <v>0</v>
      </c>
      <c r="E86" s="499">
        <f t="shared" si="13"/>
        <v>0</v>
      </c>
      <c r="F86" s="499">
        <f t="shared" si="13"/>
        <v>0</v>
      </c>
      <c r="G86" s="499">
        <f t="shared" si="13"/>
        <v>0</v>
      </c>
      <c r="H86" s="505">
        <f t="shared" si="13"/>
        <v>0</v>
      </c>
      <c r="I86" s="506">
        <f t="shared" si="13"/>
        <v>0</v>
      </c>
      <c r="J86" s="248"/>
    </row>
    <row r="87" spans="1:10" s="413" customFormat="1" ht="12.75">
      <c r="A87" s="126" t="s">
        <v>479</v>
      </c>
      <c r="B87" s="233"/>
      <c r="C87" s="499">
        <f aca="true" t="shared" si="14" ref="C87:H87">+C74</f>
        <v>0</v>
      </c>
      <c r="D87" s="499">
        <f t="shared" si="14"/>
        <v>0</v>
      </c>
      <c r="E87" s="499">
        <f t="shared" si="14"/>
        <v>0</v>
      </c>
      <c r="F87" s="499">
        <f t="shared" si="14"/>
        <v>0</v>
      </c>
      <c r="G87" s="499">
        <f t="shared" si="14"/>
        <v>0</v>
      </c>
      <c r="H87" s="505">
        <f t="shared" si="14"/>
        <v>0</v>
      </c>
      <c r="I87" s="506">
        <f>+H87</f>
        <v>0</v>
      </c>
      <c r="J87" s="248"/>
    </row>
    <row r="88" spans="1:9" ht="12.75">
      <c r="A88" s="515" t="s">
        <v>470</v>
      </c>
      <c r="B88" s="233"/>
      <c r="C88" s="517" t="e">
        <f aca="true" t="shared" si="15" ref="C88:H88">+C86*C82+C87*C81</f>
        <v>#DIV/0!</v>
      </c>
      <c r="D88" s="517" t="e">
        <f t="shared" si="15"/>
        <v>#DIV/0!</v>
      </c>
      <c r="E88" s="517" t="e">
        <f t="shared" si="15"/>
        <v>#DIV/0!</v>
      </c>
      <c r="F88" s="517">
        <f t="shared" si="15"/>
        <v>0</v>
      </c>
      <c r="G88" s="517">
        <f t="shared" si="15"/>
        <v>0</v>
      </c>
      <c r="H88" s="518">
        <f t="shared" si="15"/>
        <v>0</v>
      </c>
      <c r="I88" s="506">
        <f>+H88</f>
        <v>0</v>
      </c>
    </row>
    <row r="89" spans="1:10" s="413" customFormat="1" ht="12.75">
      <c r="A89" s="411"/>
      <c r="B89" s="411"/>
      <c r="C89" s="414"/>
      <c r="D89" s="488"/>
      <c r="E89" s="411"/>
      <c r="F89" s="411"/>
      <c r="G89" s="411"/>
      <c r="H89" s="411"/>
      <c r="I89" s="411"/>
      <c r="J89" s="248"/>
    </row>
    <row r="90" spans="1:10" s="413" customFormat="1" ht="13.5">
      <c r="A90" s="533" t="s">
        <v>469</v>
      </c>
      <c r="B90" s="534"/>
      <c r="C90" s="535"/>
      <c r="D90" s="536"/>
      <c r="E90" s="534"/>
      <c r="F90" s="534"/>
      <c r="G90" s="534"/>
      <c r="H90" s="534"/>
      <c r="I90" s="681" t="s">
        <v>480</v>
      </c>
      <c r="J90" s="248"/>
    </row>
    <row r="91" spans="1:10" ht="12.75">
      <c r="A91" s="537" t="s">
        <v>473</v>
      </c>
      <c r="B91" s="538"/>
      <c r="C91" s="539" t="e">
        <f>+Pressupostos!$B37*(1+(1-Pressupostos!$B29)*(Avaliação!C78/Avaliação!C79))</f>
        <v>#DIV/0!</v>
      </c>
      <c r="D91" s="540" t="e">
        <f>+Pressupostos!$B37*(1+(1-Pressupostos!$B29)*(Avaliação!D78/Avaliação!D79))</f>
        <v>#DIV/0!</v>
      </c>
      <c r="E91" s="540" t="e">
        <f>+Pressupostos!$B37*(1+(1-Pressupostos!$B29)*(Avaliação!E78/Avaliação!E79))</f>
        <v>#DIV/0!</v>
      </c>
      <c r="F91" s="540">
        <f>+Pressupostos!$B37*(1+(1-Pressupostos!$B29)*(Avaliação!F78/Avaliação!F79))</f>
        <v>1</v>
      </c>
      <c r="G91" s="540">
        <f>+Pressupostos!$B37*(1+(1-Pressupostos!$B29)*(Avaliação!G78/Avaliação!G79))</f>
        <v>1</v>
      </c>
      <c r="H91" s="540">
        <f>+Pressupostos!$B37*(1+(1-Pressupostos!$B29)*(Avaliação!H78/Avaliação!H79))</f>
        <v>1</v>
      </c>
      <c r="I91" s="681"/>
      <c r="J91" s="248"/>
    </row>
    <row r="92" spans="1:10" ht="13.5">
      <c r="A92" s="513"/>
      <c r="B92" s="514"/>
      <c r="C92" s="510" t="s">
        <v>232</v>
      </c>
      <c r="D92" s="509"/>
      <c r="E92" s="54"/>
      <c r="F92" s="54"/>
      <c r="G92" s="54"/>
      <c r="H92" s="54"/>
      <c r="I92" s="681"/>
      <c r="J92" s="248"/>
    </row>
    <row r="93" spans="1:10" ht="12.75">
      <c r="A93" s="541" t="s">
        <v>474</v>
      </c>
      <c r="B93" s="542"/>
      <c r="C93" s="543" t="e">
        <f aca="true" t="shared" si="16" ref="C93:H93">(C68+(C91*C69))</f>
        <v>#DIV/0!</v>
      </c>
      <c r="D93" s="543" t="e">
        <f t="shared" si="16"/>
        <v>#DIV/0!</v>
      </c>
      <c r="E93" s="543" t="e">
        <f t="shared" si="16"/>
        <v>#DIV/0!</v>
      </c>
      <c r="F93" s="543">
        <f t="shared" si="16"/>
        <v>0</v>
      </c>
      <c r="G93" s="543">
        <f t="shared" si="16"/>
        <v>0</v>
      </c>
      <c r="H93" s="543">
        <f t="shared" si="16"/>
        <v>0</v>
      </c>
      <c r="I93" s="681"/>
      <c r="J93" s="248"/>
    </row>
    <row r="94" spans="1:10" ht="12.75">
      <c r="A94" s="537" t="s">
        <v>464</v>
      </c>
      <c r="B94" s="544"/>
      <c r="C94" s="545" t="e">
        <f aca="true" t="shared" si="17" ref="C94:H94">(C81*C74)+(C82*C93)</f>
        <v>#DIV/0!</v>
      </c>
      <c r="D94" s="545" t="e">
        <f t="shared" si="17"/>
        <v>#DIV/0!</v>
      </c>
      <c r="E94" s="545" t="e">
        <f t="shared" si="17"/>
        <v>#DIV/0!</v>
      </c>
      <c r="F94" s="545">
        <f t="shared" si="17"/>
        <v>0</v>
      </c>
      <c r="G94" s="545">
        <f t="shared" si="17"/>
        <v>0</v>
      </c>
      <c r="H94" s="546">
        <f t="shared" si="17"/>
        <v>0</v>
      </c>
      <c r="I94" s="681"/>
      <c r="J94" s="248"/>
    </row>
    <row r="95" spans="1:10" ht="13.5">
      <c r="A95" s="411"/>
      <c r="B95" s="411"/>
      <c r="C95" s="412"/>
      <c r="D95" s="519" t="s">
        <v>233</v>
      </c>
      <c r="E95" s="412"/>
      <c r="F95" s="412"/>
      <c r="G95" s="412"/>
      <c r="H95" s="412"/>
      <c r="I95" s="411"/>
      <c r="J95" s="248"/>
    </row>
    <row r="96" spans="1:10" ht="13.5">
      <c r="A96" s="411"/>
      <c r="B96" s="411"/>
      <c r="C96" s="414"/>
      <c r="D96" s="519"/>
      <c r="E96" s="411"/>
      <c r="F96" s="411"/>
      <c r="G96" s="411"/>
      <c r="H96" s="411"/>
      <c r="I96" s="411"/>
      <c r="J96" s="248"/>
    </row>
    <row r="97" spans="1:10" s="413" customFormat="1" ht="12.75">
      <c r="A97" s="62"/>
      <c r="B97" s="62"/>
      <c r="C97" s="415"/>
      <c r="D97" s="62"/>
      <c r="E97" s="62"/>
      <c r="F97" s="62"/>
      <c r="G97" s="62"/>
      <c r="H97" s="62"/>
      <c r="I97" s="62"/>
      <c r="J97" s="248"/>
    </row>
    <row r="98" spans="1:10" s="413" customFormat="1" ht="12.75">
      <c r="A98" s="62"/>
      <c r="B98" s="62"/>
      <c r="C98" s="415"/>
      <c r="D98" s="62"/>
      <c r="E98" s="62"/>
      <c r="F98" s="62"/>
      <c r="G98" s="62"/>
      <c r="H98" s="62"/>
      <c r="I98" s="62"/>
      <c r="J98" s="248"/>
    </row>
    <row r="99" ht="12.75">
      <c r="J99" s="248"/>
    </row>
    <row r="100" spans="3:10" ht="12.75">
      <c r="C100" s="416"/>
      <c r="J100" s="248"/>
    </row>
    <row r="101" ht="12.75">
      <c r="J101" s="248"/>
    </row>
    <row r="102" ht="12.75">
      <c r="J102" s="248"/>
    </row>
    <row r="103" ht="12.75">
      <c r="J103" s="248"/>
    </row>
  </sheetData>
  <sheetProtection password="8318" sheet="1"/>
  <mergeCells count="14">
    <mergeCell ref="A4:I4"/>
    <mergeCell ref="A47:B47"/>
    <mergeCell ref="K39:M40"/>
    <mergeCell ref="N39:N40"/>
    <mergeCell ref="K60:M61"/>
    <mergeCell ref="N60:N61"/>
    <mergeCell ref="A7:B7"/>
    <mergeCell ref="K20:M21"/>
    <mergeCell ref="N20:N21"/>
    <mergeCell ref="A27:B27"/>
    <mergeCell ref="J8:J10"/>
    <mergeCell ref="J28:J30"/>
    <mergeCell ref="J48:J50"/>
    <mergeCell ref="I90:I94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54" r:id="rId2"/>
  <headerFooter alignWithMargins="0">
    <oddFooter>&amp;C&amp;"Arial,Normal"&amp;8IAPMEI&amp;R&amp;"Arial,Normal"&amp;8&amp;P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A1:H91"/>
  <sheetViews>
    <sheetView showGridLines="0" showZeros="0" zoomScalePageLayoutView="0" workbookViewId="0" topLeftCell="A7">
      <selection activeCell="H7" sqref="H7"/>
    </sheetView>
  </sheetViews>
  <sheetFormatPr defaultColWidth="8.7109375" defaultRowHeight="12.75"/>
  <cols>
    <col min="1" max="1" width="42.28125" style="62" customWidth="1"/>
    <col min="2" max="2" width="13.7109375" style="62" bestFit="1" customWidth="1"/>
    <col min="3" max="10" width="11.421875" style="62" customWidth="1"/>
    <col min="11" max="16384" width="8.7109375" style="62" customWidth="1"/>
  </cols>
  <sheetData>
    <row r="1" spans="1:8" ht="12.75">
      <c r="A1" s="54"/>
      <c r="B1" s="54"/>
      <c r="C1" s="216"/>
      <c r="D1" s="216"/>
      <c r="E1" s="216"/>
      <c r="F1" s="216"/>
      <c r="G1" s="483" t="s">
        <v>44</v>
      </c>
      <c r="H1" s="494" t="str">
        <f>+Pressupostos!E1</f>
        <v>XFCP Lda</v>
      </c>
    </row>
    <row r="2" spans="1:8" s="219" customFormat="1" ht="12.75">
      <c r="A2" s="217"/>
      <c r="B2" s="217"/>
      <c r="C2" s="217"/>
      <c r="D2" s="217"/>
      <c r="E2" s="46"/>
      <c r="F2" s="46"/>
      <c r="G2" s="46"/>
      <c r="H2" s="218"/>
    </row>
    <row r="3" spans="1:8" s="219" customFormat="1" ht="12.75">
      <c r="A3" s="217"/>
      <c r="B3" s="217"/>
      <c r="C3" s="217"/>
      <c r="D3" s="217"/>
      <c r="E3" s="46"/>
      <c r="F3" s="46"/>
      <c r="G3" s="46"/>
      <c r="H3" s="218"/>
    </row>
    <row r="4" spans="1:8" ht="15.75">
      <c r="A4" s="613" t="s">
        <v>188</v>
      </c>
      <c r="B4" s="613"/>
      <c r="C4" s="613"/>
      <c r="D4" s="613"/>
      <c r="E4" s="613"/>
      <c r="F4" s="613"/>
      <c r="G4" s="613"/>
      <c r="H4" s="613"/>
    </row>
    <row r="5" spans="1:8" ht="12.75">
      <c r="A5" s="54"/>
      <c r="B5" s="125"/>
      <c r="C5" s="54"/>
      <c r="D5" s="54"/>
      <c r="E5" s="54"/>
      <c r="F5" s="54"/>
      <c r="G5" s="54"/>
      <c r="H5" s="54"/>
    </row>
    <row r="6" spans="1:8" ht="12.75">
      <c r="A6" s="493" t="s">
        <v>189</v>
      </c>
      <c r="B6" s="125"/>
      <c r="C6" s="54"/>
      <c r="D6" s="54"/>
      <c r="E6" s="54"/>
      <c r="F6" s="54"/>
      <c r="G6" s="54"/>
      <c r="H6" s="54"/>
    </row>
    <row r="7" spans="1:8" ht="12.75">
      <c r="A7" s="297" t="s">
        <v>441</v>
      </c>
      <c r="B7" s="298" t="s">
        <v>190</v>
      </c>
      <c r="C7" s="298" t="s">
        <v>191</v>
      </c>
      <c r="D7" s="298" t="s">
        <v>192</v>
      </c>
      <c r="E7" s="298" t="s">
        <v>193</v>
      </c>
      <c r="F7" s="298" t="s">
        <v>194</v>
      </c>
      <c r="G7" s="54"/>
      <c r="H7" s="54"/>
    </row>
    <row r="8" spans="1:8" ht="12.75">
      <c r="A8" s="299"/>
      <c r="B8" s="300"/>
      <c r="C8" s="300"/>
      <c r="D8" s="300"/>
      <c r="E8" s="300"/>
      <c r="F8" s="300"/>
      <c r="G8" s="54"/>
      <c r="H8" s="54"/>
    </row>
    <row r="9" spans="1:8" ht="12.75">
      <c r="A9" s="301"/>
      <c r="B9" s="300"/>
      <c r="C9" s="300"/>
      <c r="D9" s="300"/>
      <c r="E9" s="300"/>
      <c r="F9" s="300"/>
      <c r="G9" s="54"/>
      <c r="H9" s="54"/>
    </row>
    <row r="10" spans="1:8" ht="12.75">
      <c r="A10" s="302"/>
      <c r="B10" s="38"/>
      <c r="C10" s="38"/>
      <c r="D10" s="38"/>
      <c r="E10" s="38"/>
      <c r="F10" s="38"/>
      <c r="G10" s="54"/>
      <c r="H10" s="54"/>
    </row>
    <row r="11" spans="1:8" ht="12.75">
      <c r="A11" s="302"/>
      <c r="B11" s="38"/>
      <c r="C11" s="38"/>
      <c r="D11" s="38"/>
      <c r="E11" s="38"/>
      <c r="F11" s="38"/>
      <c r="G11" s="184"/>
      <c r="H11" s="184"/>
    </row>
    <row r="12" spans="1:8" ht="12.75">
      <c r="A12" s="302"/>
      <c r="B12" s="38"/>
      <c r="C12" s="38"/>
      <c r="D12" s="38"/>
      <c r="E12" s="38"/>
      <c r="F12" s="38"/>
      <c r="G12" s="184"/>
      <c r="H12" s="184"/>
    </row>
    <row r="13" spans="1:8" ht="12.75">
      <c r="A13" s="301"/>
      <c r="B13" s="38"/>
      <c r="C13" s="38"/>
      <c r="D13" s="38"/>
      <c r="E13" s="38"/>
      <c r="F13" s="38"/>
      <c r="G13" s="184"/>
      <c r="H13" s="184"/>
    </row>
    <row r="14" spans="1:8" ht="12.75">
      <c r="A14" s="301"/>
      <c r="B14" s="38"/>
      <c r="C14" s="38"/>
      <c r="D14" s="38"/>
      <c r="E14" s="38"/>
      <c r="F14" s="38"/>
      <c r="G14" s="184"/>
      <c r="H14" s="184"/>
    </row>
    <row r="15" spans="1:8" ht="12.75">
      <c r="A15" s="302"/>
      <c r="B15" s="38"/>
      <c r="C15" s="38"/>
      <c r="D15" s="38"/>
      <c r="E15" s="38"/>
      <c r="F15" s="38"/>
      <c r="G15" s="184"/>
      <c r="H15" s="184"/>
    </row>
    <row r="16" spans="1:8" ht="12.75">
      <c r="A16" s="302"/>
      <c r="B16" s="38"/>
      <c r="C16" s="38"/>
      <c r="D16" s="38"/>
      <c r="E16" s="38"/>
      <c r="F16" s="38"/>
      <c r="G16" s="184"/>
      <c r="H16" s="184"/>
    </row>
    <row r="17" spans="1:8" ht="12.75">
      <c r="A17" s="301"/>
      <c r="B17" s="38"/>
      <c r="C17" s="38"/>
      <c r="D17" s="38"/>
      <c r="E17" s="38"/>
      <c r="F17" s="38"/>
      <c r="G17" s="184"/>
      <c r="H17" s="184"/>
    </row>
    <row r="18" spans="1:8" ht="12.75">
      <c r="A18" s="301"/>
      <c r="B18" s="38"/>
      <c r="C18" s="38"/>
      <c r="D18" s="38"/>
      <c r="E18" s="38"/>
      <c r="F18" s="38"/>
      <c r="G18" s="184"/>
      <c r="H18" s="184"/>
    </row>
    <row r="19" spans="1:8" ht="12.75">
      <c r="A19" s="301"/>
      <c r="B19" s="38"/>
      <c r="C19" s="38"/>
      <c r="D19" s="38"/>
      <c r="E19" s="38"/>
      <c r="F19" s="38"/>
      <c r="G19" s="184"/>
      <c r="H19" s="184"/>
    </row>
    <row r="20" spans="1:8" ht="12.75">
      <c r="A20" s="299"/>
      <c r="B20" s="303"/>
      <c r="C20" s="303"/>
      <c r="D20" s="303"/>
      <c r="E20" s="303"/>
      <c r="F20" s="303"/>
      <c r="G20" s="184"/>
      <c r="H20" s="184"/>
    </row>
    <row r="21" spans="1:8" ht="12.75">
      <c r="A21" s="301"/>
      <c r="B21" s="304"/>
      <c r="C21" s="305"/>
      <c r="D21" s="305"/>
      <c r="E21" s="305"/>
      <c r="F21" s="306"/>
      <c r="G21" s="184"/>
      <c r="H21" s="184"/>
    </row>
    <row r="22" spans="1:8" ht="12.75">
      <c r="A22" s="125"/>
      <c r="B22" s="307"/>
      <c r="C22" s="307"/>
      <c r="D22" s="307"/>
      <c r="E22" s="307"/>
      <c r="F22" s="307"/>
      <c r="G22" s="184"/>
      <c r="H22" s="184"/>
    </row>
    <row r="23" spans="1:8" ht="12.75">
      <c r="A23" s="125"/>
      <c r="B23" s="307"/>
      <c r="C23" s="307"/>
      <c r="D23" s="307"/>
      <c r="E23" s="307"/>
      <c r="F23" s="307"/>
      <c r="G23" s="184"/>
      <c r="H23" s="184"/>
    </row>
    <row r="24" spans="1:8" ht="12.75">
      <c r="A24" s="493" t="s">
        <v>195</v>
      </c>
      <c r="B24" s="125"/>
      <c r="C24" s="54"/>
      <c r="D24" s="54"/>
      <c r="E24" s="54"/>
      <c r="F24" s="54"/>
      <c r="G24" s="184"/>
      <c r="H24" s="184" t="s">
        <v>196</v>
      </c>
    </row>
    <row r="25" spans="1:8" ht="12.75">
      <c r="A25" s="297" t="s">
        <v>197</v>
      </c>
      <c r="B25" s="308"/>
      <c r="C25" s="298">
        <f>+Pressupostos!B11</f>
        <v>2019</v>
      </c>
      <c r="D25" s="298">
        <f>+C25+1</f>
        <v>2020</v>
      </c>
      <c r="E25" s="298">
        <f>+D25+1</f>
        <v>2021</v>
      </c>
      <c r="F25" s="298">
        <f>+E25+1</f>
        <v>2022</v>
      </c>
      <c r="G25" s="298">
        <f>+F25+1</f>
        <v>2023</v>
      </c>
      <c r="H25" s="298">
        <f>+G25+1</f>
        <v>2024</v>
      </c>
    </row>
    <row r="26" spans="1:8" ht="12.75">
      <c r="A26" s="283" t="s">
        <v>191</v>
      </c>
      <c r="B26" s="309"/>
      <c r="C26" s="300"/>
      <c r="D26" s="300"/>
      <c r="E26" s="300"/>
      <c r="F26" s="300"/>
      <c r="G26" s="300"/>
      <c r="H26" s="300"/>
    </row>
    <row r="27" spans="1:8" ht="12.75">
      <c r="A27" s="283" t="s">
        <v>192</v>
      </c>
      <c r="B27" s="310"/>
      <c r="C27" s="38"/>
      <c r="D27" s="38"/>
      <c r="E27" s="38"/>
      <c r="F27" s="38"/>
      <c r="G27" s="38"/>
      <c r="H27" s="38"/>
    </row>
    <row r="28" spans="1:8" ht="12.75">
      <c r="A28" s="283" t="s">
        <v>193</v>
      </c>
      <c r="B28" s="310"/>
      <c r="C28" s="38"/>
      <c r="D28" s="38"/>
      <c r="E28" s="38"/>
      <c r="F28" s="38"/>
      <c r="G28" s="38"/>
      <c r="H28" s="38"/>
    </row>
    <row r="29" spans="1:8" ht="12.75">
      <c r="A29" s="283" t="s">
        <v>194</v>
      </c>
      <c r="B29" s="310"/>
      <c r="C29" s="38"/>
      <c r="D29" s="38"/>
      <c r="E29" s="38"/>
      <c r="F29" s="38"/>
      <c r="G29" s="38"/>
      <c r="H29" s="38"/>
    </row>
    <row r="30" spans="1:8" ht="12.75">
      <c r="A30" s="301"/>
      <c r="B30" s="310"/>
      <c r="C30" s="38"/>
      <c r="D30" s="38"/>
      <c r="E30" s="38"/>
      <c r="F30" s="38"/>
      <c r="G30" s="38"/>
      <c r="H30" s="38"/>
    </row>
    <row r="31" spans="1:8" ht="12.75">
      <c r="A31" s="301"/>
      <c r="B31" s="310"/>
      <c r="C31" s="38"/>
      <c r="D31" s="38"/>
      <c r="E31" s="38"/>
      <c r="F31" s="38"/>
      <c r="G31" s="38"/>
      <c r="H31" s="38"/>
    </row>
    <row r="32" spans="1:8" ht="12.75">
      <c r="A32" s="302"/>
      <c r="B32" s="310"/>
      <c r="C32" s="38"/>
      <c r="D32" s="38"/>
      <c r="E32" s="38"/>
      <c r="F32" s="38"/>
      <c r="G32" s="38"/>
      <c r="H32" s="38"/>
    </row>
    <row r="33" spans="1:8" ht="12.75">
      <c r="A33" s="686" t="s">
        <v>31</v>
      </c>
      <c r="B33" s="687"/>
      <c r="C33" s="311">
        <f aca="true" t="shared" si="0" ref="C33:H33">+SUM(C26:C32)</f>
        <v>0</v>
      </c>
      <c r="D33" s="311">
        <f t="shared" si="0"/>
        <v>0</v>
      </c>
      <c r="E33" s="311">
        <f t="shared" si="0"/>
        <v>0</v>
      </c>
      <c r="F33" s="311">
        <f t="shared" si="0"/>
        <v>0</v>
      </c>
      <c r="G33" s="311">
        <f t="shared" si="0"/>
        <v>0</v>
      </c>
      <c r="H33" s="311">
        <f t="shared" si="0"/>
        <v>0</v>
      </c>
    </row>
    <row r="34" spans="1:8" ht="12.75">
      <c r="A34" s="134"/>
      <c r="B34" s="312"/>
      <c r="C34" s="142"/>
      <c r="D34" s="142"/>
      <c r="E34" s="142"/>
      <c r="F34" s="142"/>
      <c r="G34" s="184"/>
      <c r="H34" s="184"/>
    </row>
    <row r="35" spans="1:8" ht="12.75">
      <c r="A35" s="493" t="s">
        <v>300</v>
      </c>
      <c r="B35" s="125"/>
      <c r="C35" s="54"/>
      <c r="D35" s="54"/>
      <c r="E35" s="54"/>
      <c r="F35" s="54"/>
      <c r="G35" s="184"/>
      <c r="H35" s="184" t="s">
        <v>442</v>
      </c>
    </row>
    <row r="36" spans="1:8" ht="12.75">
      <c r="A36" s="686" t="s">
        <v>301</v>
      </c>
      <c r="B36" s="687"/>
      <c r="C36" s="298">
        <f aca="true" t="shared" si="1" ref="C36:H36">+C25</f>
        <v>2019</v>
      </c>
      <c r="D36" s="298">
        <f t="shared" si="1"/>
        <v>2020</v>
      </c>
      <c r="E36" s="298">
        <f t="shared" si="1"/>
        <v>2021</v>
      </c>
      <c r="F36" s="298">
        <f t="shared" si="1"/>
        <v>2022</v>
      </c>
      <c r="G36" s="298">
        <f t="shared" si="1"/>
        <v>2023</v>
      </c>
      <c r="H36" s="298">
        <f t="shared" si="1"/>
        <v>2024</v>
      </c>
    </row>
    <row r="37" spans="1:8" ht="12.75">
      <c r="A37" s="299"/>
      <c r="B37" s="309"/>
      <c r="C37" s="300"/>
      <c r="D37" s="300"/>
      <c r="E37" s="300"/>
      <c r="F37" s="300"/>
      <c r="G37" s="300"/>
      <c r="H37" s="300"/>
    </row>
    <row r="38" spans="1:8" ht="12.75">
      <c r="A38" s="313"/>
      <c r="B38" s="309"/>
      <c r="C38" s="300"/>
      <c r="D38" s="300"/>
      <c r="E38" s="300"/>
      <c r="F38" s="300"/>
      <c r="G38" s="300"/>
      <c r="H38" s="300"/>
    </row>
    <row r="39" spans="1:8" ht="12.75">
      <c r="A39" s="313"/>
      <c r="B39" s="309"/>
      <c r="C39" s="300"/>
      <c r="D39" s="300"/>
      <c r="E39" s="300"/>
      <c r="F39" s="300"/>
      <c r="G39" s="300"/>
      <c r="H39" s="300"/>
    </row>
    <row r="40" spans="1:8" ht="12.75">
      <c r="A40" s="313"/>
      <c r="B40" s="309"/>
      <c r="C40" s="300"/>
      <c r="D40" s="300"/>
      <c r="E40" s="300"/>
      <c r="F40" s="300"/>
      <c r="G40" s="300"/>
      <c r="H40" s="300"/>
    </row>
    <row r="41" spans="1:8" ht="12.75">
      <c r="A41" s="313"/>
      <c r="B41" s="309"/>
      <c r="C41" s="300"/>
      <c r="D41" s="300"/>
      <c r="E41" s="300"/>
      <c r="F41" s="300"/>
      <c r="G41" s="300"/>
      <c r="H41" s="300"/>
    </row>
    <row r="42" spans="1:8" ht="12.75">
      <c r="A42" s="313"/>
      <c r="B42" s="309"/>
      <c r="C42" s="300"/>
      <c r="D42" s="300"/>
      <c r="E42" s="300"/>
      <c r="F42" s="300"/>
      <c r="G42" s="300"/>
      <c r="H42" s="300"/>
    </row>
    <row r="43" spans="1:8" ht="12.75">
      <c r="A43" s="313"/>
      <c r="B43" s="309"/>
      <c r="C43" s="300"/>
      <c r="D43" s="300"/>
      <c r="E43" s="300"/>
      <c r="F43" s="300"/>
      <c r="G43" s="300"/>
      <c r="H43" s="300"/>
    </row>
    <row r="44" spans="1:8" ht="12.75">
      <c r="A44" s="313"/>
      <c r="B44" s="310"/>
      <c r="C44" s="300"/>
      <c r="D44" s="300"/>
      <c r="E44" s="300"/>
      <c r="F44" s="300"/>
      <c r="G44" s="300"/>
      <c r="H44" s="300"/>
    </row>
    <row r="45" spans="1:8" ht="12.75">
      <c r="A45" s="313"/>
      <c r="B45" s="310"/>
      <c r="C45" s="300"/>
      <c r="D45" s="300"/>
      <c r="E45" s="300"/>
      <c r="F45" s="300"/>
      <c r="G45" s="300"/>
      <c r="H45" s="300"/>
    </row>
    <row r="46" spans="1:8" ht="12.75">
      <c r="A46" s="313"/>
      <c r="B46" s="310"/>
      <c r="C46" s="300"/>
      <c r="D46" s="300"/>
      <c r="E46" s="300"/>
      <c r="F46" s="300"/>
      <c r="G46" s="300"/>
      <c r="H46" s="300"/>
    </row>
    <row r="47" spans="1:8" ht="12.75">
      <c r="A47" s="301"/>
      <c r="B47" s="310"/>
      <c r="C47" s="300"/>
      <c r="D47" s="300"/>
      <c r="E47" s="300"/>
      <c r="F47" s="300"/>
      <c r="G47" s="300"/>
      <c r="H47" s="300"/>
    </row>
    <row r="48" spans="1:8" ht="12.75">
      <c r="A48" s="301"/>
      <c r="B48" s="310"/>
      <c r="C48" s="300"/>
      <c r="D48" s="300"/>
      <c r="E48" s="300"/>
      <c r="F48" s="300"/>
      <c r="G48" s="300"/>
      <c r="H48" s="300"/>
    </row>
    <row r="49" spans="1:8" ht="12.75">
      <c r="A49" s="301"/>
      <c r="B49" s="310"/>
      <c r="C49" s="300"/>
      <c r="D49" s="300"/>
      <c r="E49" s="300"/>
      <c r="F49" s="300"/>
      <c r="G49" s="300"/>
      <c r="H49" s="300"/>
    </row>
    <row r="50" spans="1:8" ht="12.75">
      <c r="A50" s="302"/>
      <c r="B50" s="310"/>
      <c r="C50" s="38"/>
      <c r="D50" s="38"/>
      <c r="E50" s="38"/>
      <c r="F50" s="38"/>
      <c r="G50" s="38"/>
      <c r="H50" s="38"/>
    </row>
    <row r="51" spans="1:8" ht="12.75">
      <c r="A51" s="125"/>
      <c r="B51" s="125"/>
      <c r="C51" s="125"/>
      <c r="D51" s="125"/>
      <c r="E51" s="125"/>
      <c r="F51" s="125"/>
      <c r="G51" s="54"/>
      <c r="H51" s="54"/>
    </row>
    <row r="52" spans="1:8" ht="12.75">
      <c r="A52" s="125"/>
      <c r="B52" s="125"/>
      <c r="C52" s="125"/>
      <c r="D52" s="125"/>
      <c r="E52" s="125"/>
      <c r="F52" s="125"/>
      <c r="G52" s="54"/>
      <c r="H52" s="54"/>
    </row>
    <row r="53" spans="1:8" ht="12.75">
      <c r="A53" s="493" t="s">
        <v>302</v>
      </c>
      <c r="B53" s="125"/>
      <c r="C53" s="54"/>
      <c r="D53" s="54"/>
      <c r="E53" s="54"/>
      <c r="F53" s="54"/>
      <c r="G53" s="184"/>
      <c r="H53" s="184"/>
    </row>
    <row r="54" spans="1:8" ht="12.75">
      <c r="A54" s="686" t="s">
        <v>303</v>
      </c>
      <c r="B54" s="687"/>
      <c r="C54" s="298">
        <f aca="true" t="shared" si="2" ref="C54:H54">+C36</f>
        <v>2019</v>
      </c>
      <c r="D54" s="298">
        <f t="shared" si="2"/>
        <v>2020</v>
      </c>
      <c r="E54" s="298">
        <f t="shared" si="2"/>
        <v>2021</v>
      </c>
      <c r="F54" s="298">
        <f t="shared" si="2"/>
        <v>2022</v>
      </c>
      <c r="G54" s="298">
        <f t="shared" si="2"/>
        <v>2023</v>
      </c>
      <c r="H54" s="298">
        <f t="shared" si="2"/>
        <v>2024</v>
      </c>
    </row>
    <row r="55" spans="1:8" ht="12.75">
      <c r="A55" s="299"/>
      <c r="B55" s="309"/>
      <c r="C55" s="300"/>
      <c r="D55" s="300"/>
      <c r="E55" s="300"/>
      <c r="F55" s="300"/>
      <c r="G55" s="300"/>
      <c r="H55" s="300"/>
    </row>
    <row r="56" spans="1:8" ht="12.75">
      <c r="A56" s="313"/>
      <c r="B56" s="309"/>
      <c r="C56" s="300"/>
      <c r="D56" s="300"/>
      <c r="E56" s="300"/>
      <c r="F56" s="300"/>
      <c r="G56" s="300"/>
      <c r="H56" s="300"/>
    </row>
    <row r="57" spans="1:8" ht="12.75">
      <c r="A57" s="313"/>
      <c r="B57" s="309"/>
      <c r="C57" s="300"/>
      <c r="D57" s="300"/>
      <c r="E57" s="300"/>
      <c r="F57" s="300"/>
      <c r="G57" s="300"/>
      <c r="H57" s="300"/>
    </row>
    <row r="58" spans="1:8" ht="12.75">
      <c r="A58" s="313"/>
      <c r="B58" s="309"/>
      <c r="C58" s="300"/>
      <c r="D58" s="300"/>
      <c r="E58" s="300"/>
      <c r="F58" s="300"/>
      <c r="G58" s="300"/>
      <c r="H58" s="300"/>
    </row>
    <row r="59" spans="1:8" ht="12.75">
      <c r="A59" s="313"/>
      <c r="B59" s="309"/>
      <c r="C59" s="300"/>
      <c r="D59" s="300"/>
      <c r="E59" s="300"/>
      <c r="F59" s="300"/>
      <c r="G59" s="300"/>
      <c r="H59" s="300"/>
    </row>
    <row r="60" spans="1:8" ht="12.75">
      <c r="A60" s="313"/>
      <c r="B60" s="309"/>
      <c r="C60" s="300"/>
      <c r="D60" s="300"/>
      <c r="E60" s="300"/>
      <c r="F60" s="300"/>
      <c r="G60" s="300"/>
      <c r="H60" s="300"/>
    </row>
    <row r="61" spans="1:8" ht="12.75">
      <c r="A61" s="313"/>
      <c r="B61" s="309"/>
      <c r="C61" s="300"/>
      <c r="D61" s="300"/>
      <c r="E61" s="300"/>
      <c r="F61" s="300"/>
      <c r="G61" s="300"/>
      <c r="H61" s="300"/>
    </row>
    <row r="62" spans="1:8" ht="12.75">
      <c r="A62" s="313"/>
      <c r="B62" s="310"/>
      <c r="C62" s="38"/>
      <c r="D62" s="38"/>
      <c r="E62" s="38"/>
      <c r="F62" s="38"/>
      <c r="G62" s="38"/>
      <c r="H62" s="38"/>
    </row>
    <row r="63" spans="1:8" ht="12.75">
      <c r="A63" s="313"/>
      <c r="B63" s="310"/>
      <c r="C63" s="38"/>
      <c r="D63" s="38"/>
      <c r="E63" s="38"/>
      <c r="F63" s="38"/>
      <c r="G63" s="38"/>
      <c r="H63" s="38"/>
    </row>
    <row r="64" spans="1:8" ht="12.75">
      <c r="A64" s="313"/>
      <c r="B64" s="310"/>
      <c r="C64" s="38"/>
      <c r="D64" s="38"/>
      <c r="E64" s="38"/>
      <c r="F64" s="38"/>
      <c r="G64" s="38"/>
      <c r="H64" s="38"/>
    </row>
    <row r="65" spans="1:8" ht="12.75">
      <c r="A65" s="301"/>
      <c r="B65" s="310"/>
      <c r="C65" s="38"/>
      <c r="D65" s="38"/>
      <c r="E65" s="38"/>
      <c r="F65" s="38"/>
      <c r="G65" s="38"/>
      <c r="H65" s="38"/>
    </row>
    <row r="66" spans="1:8" ht="12.75">
      <c r="A66" s="301"/>
      <c r="B66" s="310"/>
      <c r="C66" s="38"/>
      <c r="D66" s="38"/>
      <c r="E66" s="38"/>
      <c r="F66" s="38"/>
      <c r="G66" s="38"/>
      <c r="H66" s="38"/>
    </row>
    <row r="67" spans="1:8" ht="12.75">
      <c r="A67" s="301"/>
      <c r="B67" s="310"/>
      <c r="C67" s="38"/>
      <c r="D67" s="38"/>
      <c r="E67" s="38"/>
      <c r="F67" s="38"/>
      <c r="G67" s="38"/>
      <c r="H67" s="38"/>
    </row>
    <row r="68" spans="1:8" ht="12.75">
      <c r="A68" s="302"/>
      <c r="B68" s="310"/>
      <c r="C68" s="38"/>
      <c r="D68" s="38"/>
      <c r="E68" s="38"/>
      <c r="F68" s="38"/>
      <c r="G68" s="38"/>
      <c r="H68" s="38"/>
    </row>
    <row r="69" spans="1:8" ht="12.75">
      <c r="A69" s="125"/>
      <c r="B69" s="125"/>
      <c r="C69" s="125"/>
      <c r="D69" s="125"/>
      <c r="E69" s="125"/>
      <c r="F69" s="125"/>
      <c r="G69" s="54"/>
      <c r="H69" s="54"/>
    </row>
    <row r="70" spans="1:8" ht="12.75">
      <c r="A70" s="125"/>
      <c r="B70" s="125"/>
      <c r="C70" s="125"/>
      <c r="D70" s="125"/>
      <c r="E70" s="125"/>
      <c r="F70" s="125"/>
      <c r="G70" s="54"/>
      <c r="H70" s="54"/>
    </row>
    <row r="71" spans="1:8" ht="12.75">
      <c r="A71" s="493" t="s">
        <v>198</v>
      </c>
      <c r="B71" s="125"/>
      <c r="C71" s="54"/>
      <c r="D71" s="54"/>
      <c r="E71" s="54"/>
      <c r="F71" s="54"/>
      <c r="G71" s="184"/>
      <c r="H71" s="184"/>
    </row>
    <row r="72" spans="1:8" ht="12.75">
      <c r="A72" s="686" t="s">
        <v>303</v>
      </c>
      <c r="B72" s="687"/>
      <c r="C72" s="298">
        <f aca="true" t="shared" si="3" ref="C72:H72">+C25</f>
        <v>2019</v>
      </c>
      <c r="D72" s="298">
        <f t="shared" si="3"/>
        <v>2020</v>
      </c>
      <c r="E72" s="298">
        <f t="shared" si="3"/>
        <v>2021</v>
      </c>
      <c r="F72" s="298">
        <f t="shared" si="3"/>
        <v>2022</v>
      </c>
      <c r="G72" s="298">
        <f t="shared" si="3"/>
        <v>2023</v>
      </c>
      <c r="H72" s="298">
        <f t="shared" si="3"/>
        <v>2024</v>
      </c>
    </row>
    <row r="73" spans="1:8" ht="12.75">
      <c r="A73" s="299"/>
      <c r="B73" s="309"/>
      <c r="C73" s="300">
        <f aca="true" t="shared" si="4" ref="C73:H73">+C37*C55</f>
        <v>0</v>
      </c>
      <c r="D73" s="300">
        <f t="shared" si="4"/>
        <v>0</v>
      </c>
      <c r="E73" s="300">
        <f t="shared" si="4"/>
        <v>0</v>
      </c>
      <c r="F73" s="300">
        <f t="shared" si="4"/>
        <v>0</v>
      </c>
      <c r="G73" s="300">
        <f t="shared" si="4"/>
        <v>0</v>
      </c>
      <c r="H73" s="300">
        <f t="shared" si="4"/>
        <v>0</v>
      </c>
    </row>
    <row r="74" spans="1:8" ht="12.75">
      <c r="A74" s="313"/>
      <c r="B74" s="309"/>
      <c r="C74" s="300">
        <f aca="true" t="shared" si="5" ref="C74:H86">+C38*C56</f>
        <v>0</v>
      </c>
      <c r="D74" s="300">
        <f t="shared" si="5"/>
        <v>0</v>
      </c>
      <c r="E74" s="300">
        <f t="shared" si="5"/>
        <v>0</v>
      </c>
      <c r="F74" s="300">
        <f t="shared" si="5"/>
        <v>0</v>
      </c>
      <c r="G74" s="300">
        <f t="shared" si="5"/>
        <v>0</v>
      </c>
      <c r="H74" s="300">
        <f t="shared" si="5"/>
        <v>0</v>
      </c>
    </row>
    <row r="75" spans="1:8" ht="12.75">
      <c r="A75" s="313"/>
      <c r="B75" s="309"/>
      <c r="C75" s="300">
        <f t="shared" si="5"/>
        <v>0</v>
      </c>
      <c r="D75" s="300">
        <f t="shared" si="5"/>
        <v>0</v>
      </c>
      <c r="E75" s="300">
        <f t="shared" si="5"/>
        <v>0</v>
      </c>
      <c r="F75" s="300">
        <f t="shared" si="5"/>
        <v>0</v>
      </c>
      <c r="G75" s="300">
        <f t="shared" si="5"/>
        <v>0</v>
      </c>
      <c r="H75" s="300">
        <f t="shared" si="5"/>
        <v>0</v>
      </c>
    </row>
    <row r="76" spans="1:8" ht="12.75">
      <c r="A76" s="313"/>
      <c r="B76" s="309"/>
      <c r="C76" s="300">
        <f t="shared" si="5"/>
        <v>0</v>
      </c>
      <c r="D76" s="300">
        <f t="shared" si="5"/>
        <v>0</v>
      </c>
      <c r="E76" s="300">
        <f t="shared" si="5"/>
        <v>0</v>
      </c>
      <c r="F76" s="300">
        <f t="shared" si="5"/>
        <v>0</v>
      </c>
      <c r="G76" s="300">
        <f t="shared" si="5"/>
        <v>0</v>
      </c>
      <c r="H76" s="300">
        <f t="shared" si="5"/>
        <v>0</v>
      </c>
    </row>
    <row r="77" spans="1:8" ht="12.75">
      <c r="A77" s="313"/>
      <c r="B77" s="309"/>
      <c r="C77" s="300">
        <f t="shared" si="5"/>
        <v>0</v>
      </c>
      <c r="D77" s="300">
        <f t="shared" si="5"/>
        <v>0</v>
      </c>
      <c r="E77" s="300">
        <f t="shared" si="5"/>
        <v>0</v>
      </c>
      <c r="F77" s="300">
        <f t="shared" si="5"/>
        <v>0</v>
      </c>
      <c r="G77" s="300">
        <f t="shared" si="5"/>
        <v>0</v>
      </c>
      <c r="H77" s="300">
        <f t="shared" si="5"/>
        <v>0</v>
      </c>
    </row>
    <row r="78" spans="1:8" ht="12.75">
      <c r="A78" s="313"/>
      <c r="B78" s="309"/>
      <c r="C78" s="300">
        <f t="shared" si="5"/>
        <v>0</v>
      </c>
      <c r="D78" s="300">
        <f t="shared" si="5"/>
        <v>0</v>
      </c>
      <c r="E78" s="300">
        <f t="shared" si="5"/>
        <v>0</v>
      </c>
      <c r="F78" s="300">
        <f t="shared" si="5"/>
        <v>0</v>
      </c>
      <c r="G78" s="300">
        <f t="shared" si="5"/>
        <v>0</v>
      </c>
      <c r="H78" s="300">
        <f t="shared" si="5"/>
        <v>0</v>
      </c>
    </row>
    <row r="79" spans="1:8" ht="12.75">
      <c r="A79" s="313"/>
      <c r="B79" s="309"/>
      <c r="C79" s="300">
        <f t="shared" si="5"/>
        <v>0</v>
      </c>
      <c r="D79" s="300">
        <f t="shared" si="5"/>
        <v>0</v>
      </c>
      <c r="E79" s="300">
        <f t="shared" si="5"/>
        <v>0</v>
      </c>
      <c r="F79" s="300">
        <f t="shared" si="5"/>
        <v>0</v>
      </c>
      <c r="G79" s="300">
        <f t="shared" si="5"/>
        <v>0</v>
      </c>
      <c r="H79" s="300">
        <f t="shared" si="5"/>
        <v>0</v>
      </c>
    </row>
    <row r="80" spans="1:8" ht="12.75">
      <c r="A80" s="313"/>
      <c r="B80" s="310"/>
      <c r="C80" s="300">
        <f t="shared" si="5"/>
        <v>0</v>
      </c>
      <c r="D80" s="300">
        <f t="shared" si="5"/>
        <v>0</v>
      </c>
      <c r="E80" s="300">
        <f t="shared" si="5"/>
        <v>0</v>
      </c>
      <c r="F80" s="300">
        <f t="shared" si="5"/>
        <v>0</v>
      </c>
      <c r="G80" s="300">
        <f t="shared" si="5"/>
        <v>0</v>
      </c>
      <c r="H80" s="300">
        <f t="shared" si="5"/>
        <v>0</v>
      </c>
    </row>
    <row r="81" spans="1:8" ht="12.75">
      <c r="A81" s="313"/>
      <c r="B81" s="310"/>
      <c r="C81" s="300">
        <f t="shared" si="5"/>
        <v>0</v>
      </c>
      <c r="D81" s="300">
        <f t="shared" si="5"/>
        <v>0</v>
      </c>
      <c r="E81" s="300">
        <f t="shared" si="5"/>
        <v>0</v>
      </c>
      <c r="F81" s="300">
        <f t="shared" si="5"/>
        <v>0</v>
      </c>
      <c r="G81" s="300">
        <f t="shared" si="5"/>
        <v>0</v>
      </c>
      <c r="H81" s="300">
        <f t="shared" si="5"/>
        <v>0</v>
      </c>
    </row>
    <row r="82" spans="1:8" ht="12.75">
      <c r="A82" s="313"/>
      <c r="B82" s="310"/>
      <c r="C82" s="300">
        <f t="shared" si="5"/>
        <v>0</v>
      </c>
      <c r="D82" s="300">
        <f t="shared" si="5"/>
        <v>0</v>
      </c>
      <c r="E82" s="300">
        <f t="shared" si="5"/>
        <v>0</v>
      </c>
      <c r="F82" s="300">
        <f t="shared" si="5"/>
        <v>0</v>
      </c>
      <c r="G82" s="300">
        <f t="shared" si="5"/>
        <v>0</v>
      </c>
      <c r="H82" s="300">
        <f t="shared" si="5"/>
        <v>0</v>
      </c>
    </row>
    <row r="83" spans="1:8" ht="12.75">
      <c r="A83" s="301"/>
      <c r="B83" s="310"/>
      <c r="C83" s="300">
        <f t="shared" si="5"/>
        <v>0</v>
      </c>
      <c r="D83" s="300">
        <f t="shared" si="5"/>
        <v>0</v>
      </c>
      <c r="E83" s="300">
        <f t="shared" si="5"/>
        <v>0</v>
      </c>
      <c r="F83" s="300">
        <f t="shared" si="5"/>
        <v>0</v>
      </c>
      <c r="G83" s="300">
        <f t="shared" si="5"/>
        <v>0</v>
      </c>
      <c r="H83" s="300">
        <f t="shared" si="5"/>
        <v>0</v>
      </c>
    </row>
    <row r="84" spans="1:8" ht="12.75">
      <c r="A84" s="301"/>
      <c r="B84" s="310"/>
      <c r="C84" s="300">
        <f t="shared" si="5"/>
        <v>0</v>
      </c>
      <c r="D84" s="300">
        <f t="shared" si="5"/>
        <v>0</v>
      </c>
      <c r="E84" s="300">
        <f t="shared" si="5"/>
        <v>0</v>
      </c>
      <c r="F84" s="300">
        <f t="shared" si="5"/>
        <v>0</v>
      </c>
      <c r="G84" s="300">
        <f t="shared" si="5"/>
        <v>0</v>
      </c>
      <c r="H84" s="300">
        <f t="shared" si="5"/>
        <v>0</v>
      </c>
    </row>
    <row r="85" spans="1:8" ht="12.75">
      <c r="A85" s="301"/>
      <c r="B85" s="310"/>
      <c r="C85" s="300">
        <f t="shared" si="5"/>
        <v>0</v>
      </c>
      <c r="D85" s="300">
        <f t="shared" si="5"/>
        <v>0</v>
      </c>
      <c r="E85" s="300">
        <f t="shared" si="5"/>
        <v>0</v>
      </c>
      <c r="F85" s="300">
        <f t="shared" si="5"/>
        <v>0</v>
      </c>
      <c r="G85" s="300">
        <f t="shared" si="5"/>
        <v>0</v>
      </c>
      <c r="H85" s="300">
        <f t="shared" si="5"/>
        <v>0</v>
      </c>
    </row>
    <row r="86" spans="1:8" ht="12.75">
      <c r="A86" s="302"/>
      <c r="B86" s="310"/>
      <c r="C86" s="300">
        <f t="shared" si="5"/>
        <v>0</v>
      </c>
      <c r="D86" s="300">
        <f t="shared" si="5"/>
        <v>0</v>
      </c>
      <c r="E86" s="300">
        <f t="shared" si="5"/>
        <v>0</v>
      </c>
      <c r="F86" s="300">
        <f t="shared" si="5"/>
        <v>0</v>
      </c>
      <c r="G86" s="300">
        <f t="shared" si="5"/>
        <v>0</v>
      </c>
      <c r="H86" s="300">
        <f t="shared" si="5"/>
        <v>0</v>
      </c>
    </row>
    <row r="87" spans="1:8" ht="12.75">
      <c r="A87" s="686" t="s">
        <v>31</v>
      </c>
      <c r="B87" s="687"/>
      <c r="C87" s="311">
        <f aca="true" t="shared" si="6" ref="C87:H87">+SUM(C73:C86)</f>
        <v>0</v>
      </c>
      <c r="D87" s="311">
        <f t="shared" si="6"/>
        <v>0</v>
      </c>
      <c r="E87" s="311">
        <f t="shared" si="6"/>
        <v>0</v>
      </c>
      <c r="F87" s="311">
        <f t="shared" si="6"/>
        <v>0</v>
      </c>
      <c r="G87" s="311">
        <f t="shared" si="6"/>
        <v>0</v>
      </c>
      <c r="H87" s="311">
        <f t="shared" si="6"/>
        <v>0</v>
      </c>
    </row>
    <row r="88" spans="1:8" ht="12.75">
      <c r="A88" s="54"/>
      <c r="B88" s="54"/>
      <c r="C88" s="54"/>
      <c r="D88" s="54"/>
      <c r="E88" s="54"/>
      <c r="F88" s="54"/>
      <c r="G88" s="54"/>
      <c r="H88" s="54"/>
    </row>
    <row r="89" spans="1:8" ht="12.75">
      <c r="A89" s="54"/>
      <c r="B89" s="54"/>
      <c r="C89" s="54"/>
      <c r="D89" s="54"/>
      <c r="E89" s="54"/>
      <c r="F89" s="54"/>
      <c r="G89" s="54"/>
      <c r="H89" s="54"/>
    </row>
    <row r="90" spans="1:8" ht="12.75">
      <c r="A90" s="141" t="s">
        <v>304</v>
      </c>
      <c r="B90" s="54"/>
      <c r="C90" s="54"/>
      <c r="D90" s="54"/>
      <c r="E90" s="54"/>
      <c r="F90" s="54"/>
      <c r="G90" s="54"/>
      <c r="H90" s="54"/>
    </row>
    <row r="91" spans="1:8" ht="12.75">
      <c r="A91" s="141" t="s">
        <v>305</v>
      </c>
      <c r="B91" s="54"/>
      <c r="C91" s="54"/>
      <c r="D91" s="54"/>
      <c r="E91" s="54"/>
      <c r="F91" s="54"/>
      <c r="G91" s="54"/>
      <c r="H91" s="54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I20" sqref="I20"/>
    </sheetView>
  </sheetViews>
  <sheetFormatPr defaultColWidth="9.140625" defaultRowHeight="12.75"/>
  <sheetData>
    <row r="1" ht="12.75">
      <c r="B1" t="s">
        <v>229</v>
      </c>
    </row>
    <row r="2" ht="12.75">
      <c r="B2" t="s">
        <v>230</v>
      </c>
    </row>
    <row r="3" ht="12.75">
      <c r="B3" t="s">
        <v>231</v>
      </c>
    </row>
    <row r="5" ht="12.75">
      <c r="B5" t="s">
        <v>222</v>
      </c>
    </row>
    <row r="7" spans="2:8" ht="12.75">
      <c r="B7" s="407"/>
      <c r="C7" s="406" t="s">
        <v>225</v>
      </c>
      <c r="D7" s="406" t="s">
        <v>226</v>
      </c>
      <c r="E7" s="406" t="s">
        <v>228</v>
      </c>
      <c r="F7" s="406" t="s">
        <v>220</v>
      </c>
      <c r="G7" s="406" t="s">
        <v>221</v>
      </c>
      <c r="H7" s="406" t="s">
        <v>223</v>
      </c>
    </row>
    <row r="8" spans="2:8" ht="12.75">
      <c r="B8" s="407" t="s">
        <v>224</v>
      </c>
      <c r="C8" s="408">
        <v>1</v>
      </c>
      <c r="D8" s="407"/>
      <c r="E8" s="407"/>
      <c r="F8" s="407"/>
      <c r="G8" s="407"/>
      <c r="H8" s="405"/>
    </row>
    <row r="9" spans="2:8" ht="12.75">
      <c r="B9" s="407" t="s">
        <v>227</v>
      </c>
      <c r="C9" s="408">
        <v>-0.1</v>
      </c>
      <c r="D9" s="407"/>
      <c r="E9" s="407"/>
      <c r="F9" s="407"/>
      <c r="G9" s="407"/>
      <c r="H9" s="405"/>
    </row>
    <row r="10" spans="2:8" ht="12.75">
      <c r="B10" s="407" t="s">
        <v>227</v>
      </c>
      <c r="C10" s="407"/>
      <c r="D10" s="407"/>
      <c r="E10" s="407"/>
      <c r="F10" s="407"/>
      <c r="G10" s="407"/>
      <c r="H10" s="405"/>
    </row>
    <row r="11" spans="2:8" ht="12.75">
      <c r="B11" s="407" t="s">
        <v>227</v>
      </c>
      <c r="C11" s="407"/>
      <c r="D11" s="407"/>
      <c r="E11" s="407"/>
      <c r="F11" s="407"/>
      <c r="G11" s="407"/>
      <c r="H11" s="405"/>
    </row>
    <row r="12" spans="2:8" ht="12.75">
      <c r="B12" s="407" t="s">
        <v>227</v>
      </c>
      <c r="C12" s="407"/>
      <c r="D12" s="407"/>
      <c r="E12" s="407"/>
      <c r="F12" s="407"/>
      <c r="G12" s="407"/>
      <c r="H12" s="405"/>
    </row>
    <row r="13" spans="2:8" ht="12.75">
      <c r="B13" s="407" t="s">
        <v>227</v>
      </c>
      <c r="C13" s="407"/>
      <c r="D13" s="407"/>
      <c r="E13" s="407"/>
      <c r="F13" s="407"/>
      <c r="G13" s="407"/>
      <c r="H13" s="405"/>
    </row>
    <row r="14" spans="2:8" ht="12.75">
      <c r="B14" s="407" t="s">
        <v>227</v>
      </c>
      <c r="C14" s="407"/>
      <c r="D14" s="407"/>
      <c r="E14" s="407"/>
      <c r="F14" s="407"/>
      <c r="G14" s="407"/>
      <c r="H14" s="405"/>
    </row>
    <row r="19" spans="8:9" ht="12.75">
      <c r="H19">
        <f>10/17.5</f>
        <v>0.5714285714285714</v>
      </c>
      <c r="I19">
        <f>20/27.5</f>
        <v>0.7272727272727273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51"/>
  <sheetViews>
    <sheetView showGridLines="0" zoomScalePageLayoutView="0" workbookViewId="0" topLeftCell="A22">
      <selection activeCell="H18" sqref="H18"/>
    </sheetView>
  </sheetViews>
  <sheetFormatPr defaultColWidth="9.140625" defaultRowHeight="12.75"/>
  <cols>
    <col min="1" max="1" width="3.7109375" style="12" customWidth="1"/>
    <col min="2" max="2" width="9.140625" style="12" customWidth="1"/>
    <col min="3" max="3" width="88.57421875" style="12" customWidth="1"/>
    <col min="4" max="16384" width="9.140625" style="12" customWidth="1"/>
  </cols>
  <sheetData>
    <row r="1" spans="2:3" ht="12.75">
      <c r="B1" s="11"/>
      <c r="C1" s="587" t="s">
        <v>237</v>
      </c>
    </row>
    <row r="2" spans="2:3" ht="12.75">
      <c r="B2" s="11"/>
      <c r="C2" s="588"/>
    </row>
    <row r="3" spans="2:3" ht="18.75" customHeight="1">
      <c r="B3" s="11"/>
      <c r="C3" s="588"/>
    </row>
    <row r="4" spans="2:3" ht="21.75" customHeight="1">
      <c r="B4" s="590" t="s">
        <v>116</v>
      </c>
      <c r="C4" s="590"/>
    </row>
    <row r="5" spans="2:3" ht="13.5">
      <c r="B5" s="11"/>
      <c r="C5" s="11"/>
    </row>
    <row r="6" spans="2:3" s="376" customFormat="1" ht="13.5" customHeight="1">
      <c r="B6" s="592" t="s">
        <v>238</v>
      </c>
      <c r="C6" s="592"/>
    </row>
    <row r="7" spans="2:3" s="376" customFormat="1" ht="27" customHeight="1">
      <c r="B7" s="592"/>
      <c r="C7" s="592"/>
    </row>
    <row r="8" spans="2:3" s="376" customFormat="1" ht="36" customHeight="1">
      <c r="B8" s="592"/>
      <c r="C8" s="592"/>
    </row>
    <row r="9" spans="2:3" ht="13.5">
      <c r="B9" s="11"/>
      <c r="C9" s="11"/>
    </row>
    <row r="10" spans="2:3" ht="13.5">
      <c r="B10" s="13" t="s">
        <v>89</v>
      </c>
      <c r="C10" s="11"/>
    </row>
    <row r="11" spans="2:3" ht="8.25" customHeight="1">
      <c r="B11" s="13"/>
      <c r="C11" s="11"/>
    </row>
    <row r="12" spans="2:3" ht="12.75">
      <c r="B12" s="591" t="s">
        <v>486</v>
      </c>
      <c r="C12" s="591"/>
    </row>
    <row r="13" spans="2:3" ht="12.75">
      <c r="B13" s="591" t="s">
        <v>239</v>
      </c>
      <c r="C13" s="591"/>
    </row>
    <row r="14" spans="2:3" ht="12.75" customHeight="1">
      <c r="B14" s="589" t="s">
        <v>240</v>
      </c>
      <c r="C14" s="589"/>
    </row>
    <row r="15" spans="2:3" ht="12.75" customHeight="1">
      <c r="B15" s="589" t="s">
        <v>241</v>
      </c>
      <c r="C15" s="589"/>
    </row>
    <row r="16" spans="2:3" ht="8.25" customHeight="1">
      <c r="B16" s="13"/>
      <c r="C16" s="11"/>
    </row>
    <row r="17" spans="2:3" ht="13.5">
      <c r="B17" s="8" t="s">
        <v>88</v>
      </c>
      <c r="C17" s="14"/>
    </row>
    <row r="18" spans="2:3" ht="13.5">
      <c r="B18" s="8"/>
      <c r="C18" s="14"/>
    </row>
    <row r="19" spans="2:3" ht="40.5" customHeight="1">
      <c r="B19" s="443">
        <v>1</v>
      </c>
      <c r="C19" s="15" t="s">
        <v>307</v>
      </c>
    </row>
    <row r="20" spans="2:3" ht="8.25" customHeight="1">
      <c r="B20" s="13"/>
      <c r="C20" s="11"/>
    </row>
    <row r="21" spans="2:3" ht="22.5" customHeight="1">
      <c r="B21" s="443">
        <v>2</v>
      </c>
      <c r="C21" s="15" t="s">
        <v>242</v>
      </c>
    </row>
    <row r="22" spans="2:3" ht="6" customHeight="1">
      <c r="B22" s="8"/>
      <c r="C22" s="14"/>
    </row>
    <row r="23" spans="2:3" ht="40.5" customHeight="1">
      <c r="B23" s="443">
        <v>3</v>
      </c>
      <c r="C23" s="15" t="s">
        <v>243</v>
      </c>
    </row>
    <row r="24" spans="2:3" ht="6" customHeight="1">
      <c r="B24" s="9"/>
      <c r="C24" s="9"/>
    </row>
    <row r="25" spans="2:3" ht="25.5" customHeight="1">
      <c r="B25" s="443">
        <v>4</v>
      </c>
      <c r="C25" s="15" t="s">
        <v>244</v>
      </c>
    </row>
    <row r="26" spans="2:3" ht="6" customHeight="1">
      <c r="B26" s="9"/>
      <c r="C26" s="9"/>
    </row>
    <row r="27" spans="2:3" ht="25.5" customHeight="1">
      <c r="B27" s="443">
        <v>5</v>
      </c>
      <c r="C27" s="15" t="s">
        <v>245</v>
      </c>
    </row>
    <row r="28" spans="2:3" ht="6" customHeight="1">
      <c r="B28" s="9"/>
      <c r="C28" s="9"/>
    </row>
    <row r="29" spans="2:3" ht="25.5" customHeight="1">
      <c r="B29" s="443">
        <v>6</v>
      </c>
      <c r="C29" s="15" t="s">
        <v>246</v>
      </c>
    </row>
    <row r="30" spans="2:3" ht="6" customHeight="1">
      <c r="B30" s="10"/>
      <c r="C30" s="11"/>
    </row>
    <row r="31" spans="2:3" ht="25.5" customHeight="1">
      <c r="B31" s="443">
        <v>7</v>
      </c>
      <c r="C31" s="15" t="s">
        <v>247</v>
      </c>
    </row>
    <row r="32" spans="2:3" ht="6" customHeight="1">
      <c r="B32" s="11"/>
      <c r="C32" s="11"/>
    </row>
    <row r="33" spans="2:3" ht="25.5" customHeight="1">
      <c r="B33" s="443">
        <v>8</v>
      </c>
      <c r="C33" s="15" t="s">
        <v>248</v>
      </c>
    </row>
    <row r="34" spans="2:3" ht="6" customHeight="1">
      <c r="B34" s="11"/>
      <c r="C34" s="11"/>
    </row>
    <row r="35" spans="2:3" ht="40.5" customHeight="1">
      <c r="B35" s="443">
        <v>9</v>
      </c>
      <c r="C35" s="16" t="s">
        <v>249</v>
      </c>
    </row>
    <row r="36" spans="2:3" ht="6" customHeight="1">
      <c r="B36" s="11"/>
      <c r="C36" s="11"/>
    </row>
    <row r="37" spans="2:3" ht="25.5" customHeight="1">
      <c r="B37" s="443">
        <v>10</v>
      </c>
      <c r="C37" s="15" t="s">
        <v>250</v>
      </c>
    </row>
    <row r="38" spans="2:3" ht="6" customHeight="1">
      <c r="B38" s="11"/>
      <c r="C38" s="11"/>
    </row>
    <row r="39" spans="2:3" ht="57" customHeight="1">
      <c r="B39" s="443">
        <v>11</v>
      </c>
      <c r="C39" s="16" t="s">
        <v>251</v>
      </c>
    </row>
    <row r="40" spans="2:3" ht="6" customHeight="1">
      <c r="B40" s="11"/>
      <c r="C40" s="11"/>
    </row>
    <row r="41" spans="2:3" ht="25.5" customHeight="1">
      <c r="B41" s="443">
        <v>12</v>
      </c>
      <c r="C41" s="15" t="s">
        <v>252</v>
      </c>
    </row>
    <row r="42" spans="2:3" ht="6" customHeight="1">
      <c r="B42" s="11"/>
      <c r="C42" s="11"/>
    </row>
    <row r="43" spans="2:3" ht="63.75">
      <c r="B43" s="444">
        <v>13</v>
      </c>
      <c r="C43" s="15" t="s">
        <v>253</v>
      </c>
    </row>
    <row r="44" spans="2:3" ht="6" customHeight="1">
      <c r="B44" s="11"/>
      <c r="C44" s="11"/>
    </row>
    <row r="45" spans="2:3" ht="76.5">
      <c r="B45" s="443">
        <v>14</v>
      </c>
      <c r="C45" s="16" t="s">
        <v>254</v>
      </c>
    </row>
    <row r="46" spans="2:3" ht="6" customHeight="1">
      <c r="B46" s="11"/>
      <c r="C46" s="11"/>
    </row>
    <row r="47" spans="2:3" ht="12.75">
      <c r="B47" s="443">
        <v>15</v>
      </c>
      <c r="C47" s="16" t="s">
        <v>255</v>
      </c>
    </row>
    <row r="48" spans="2:3" ht="6" customHeight="1">
      <c r="B48" s="11"/>
      <c r="C48" s="11"/>
    </row>
    <row r="49" spans="2:3" ht="25.5">
      <c r="B49" s="443">
        <v>16</v>
      </c>
      <c r="C49" s="16" t="s">
        <v>306</v>
      </c>
    </row>
    <row r="50" spans="2:3" ht="6" customHeight="1">
      <c r="B50" s="11"/>
      <c r="C50" s="11"/>
    </row>
    <row r="51" spans="2:3" ht="25.5">
      <c r="B51" s="443" t="s">
        <v>201</v>
      </c>
      <c r="C51" s="16" t="s">
        <v>256</v>
      </c>
    </row>
  </sheetData>
  <sheetProtection/>
  <mergeCells count="7">
    <mergeCell ref="C1:C3"/>
    <mergeCell ref="B14:C14"/>
    <mergeCell ref="B15:C15"/>
    <mergeCell ref="B4:C4"/>
    <mergeCell ref="B12:C12"/>
    <mergeCell ref="B13:C13"/>
    <mergeCell ref="B6:C8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2" r:id="rId2"/>
  <headerFooter alignWithMargins="0">
    <oddFooter>&amp;C&amp;"Arial,Normal"&amp;8IAPMEI&amp;R&amp;"Arial,Normal"&amp;8&amp;P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2"/>
  <sheetViews>
    <sheetView showGridLines="0" zoomScalePageLayoutView="0" workbookViewId="0" topLeftCell="A13">
      <selection activeCell="A44" sqref="A44:E44"/>
    </sheetView>
  </sheetViews>
  <sheetFormatPr defaultColWidth="8.7109375" defaultRowHeight="12.75"/>
  <cols>
    <col min="1" max="1" width="39.7109375" style="17" customWidth="1"/>
    <col min="2" max="2" width="20.140625" style="381" customWidth="1"/>
    <col min="3" max="3" width="15.7109375" style="17" customWidth="1"/>
    <col min="4" max="4" width="16.421875" style="17" customWidth="1"/>
    <col min="5" max="5" width="13.7109375" style="17" customWidth="1"/>
    <col min="6" max="16384" width="8.7109375" style="17" customWidth="1"/>
  </cols>
  <sheetData>
    <row r="1" spans="1:5" ht="13.5">
      <c r="A1" s="22"/>
      <c r="B1" s="377"/>
      <c r="C1" s="23"/>
      <c r="D1" s="441" t="s">
        <v>44</v>
      </c>
      <c r="E1" s="442" t="s">
        <v>455</v>
      </c>
    </row>
    <row r="2" spans="1:5" ht="12.75">
      <c r="A2" s="4"/>
      <c r="B2" s="378"/>
      <c r="C2" s="4"/>
      <c r="D2" s="4"/>
      <c r="E2" s="4"/>
    </row>
    <row r="3" spans="1:5" ht="12.75">
      <c r="A3" s="4"/>
      <c r="B3" s="378"/>
      <c r="C3" s="4"/>
      <c r="D3" s="4"/>
      <c r="E3" s="4"/>
    </row>
    <row r="4" spans="1:5" ht="15.75">
      <c r="A4" s="601" t="s">
        <v>4</v>
      </c>
      <c r="B4" s="601"/>
      <c r="C4" s="601"/>
      <c r="D4" s="601"/>
      <c r="E4" s="601"/>
    </row>
    <row r="5" spans="1:5" ht="12.75">
      <c r="A5" s="4"/>
      <c r="B5" s="378"/>
      <c r="C5" s="417"/>
      <c r="D5" s="4"/>
      <c r="E5" s="1"/>
    </row>
    <row r="6" spans="1:5" ht="15.75">
      <c r="A6" s="602" t="s">
        <v>257</v>
      </c>
      <c r="B6" s="602"/>
      <c r="C6" s="602"/>
      <c r="D6" s="602"/>
      <c r="E6" s="602"/>
    </row>
    <row r="7" spans="1:5" ht="12.75">
      <c r="A7" s="4"/>
      <c r="B7" s="378"/>
      <c r="C7" s="4"/>
      <c r="D7" s="4"/>
      <c r="E7" s="1"/>
    </row>
    <row r="8" spans="1:5" ht="12.75">
      <c r="A8" s="4"/>
      <c r="B8" s="378"/>
      <c r="C8" s="24"/>
      <c r="D8" s="25"/>
      <c r="E8" s="26"/>
    </row>
    <row r="9" spans="1:5" ht="12.75">
      <c r="A9" s="5" t="s">
        <v>308</v>
      </c>
      <c r="B9" s="440" t="s">
        <v>123</v>
      </c>
      <c r="C9" s="24"/>
      <c r="D9" s="25"/>
      <c r="E9" s="26"/>
    </row>
    <row r="10" spans="1:5" ht="12.75">
      <c r="A10" s="2"/>
      <c r="B10" s="379"/>
      <c r="C10" s="24"/>
      <c r="D10" s="25"/>
      <c r="E10" s="26"/>
    </row>
    <row r="11" spans="1:5" ht="12.75">
      <c r="A11" s="439" t="s">
        <v>309</v>
      </c>
      <c r="B11" s="431">
        <v>2019</v>
      </c>
      <c r="C11" s="427" t="s">
        <v>212</v>
      </c>
      <c r="D11" s="25"/>
      <c r="E11" s="26"/>
    </row>
    <row r="12" spans="1:5" ht="12.75">
      <c r="A12" s="430" t="s">
        <v>258</v>
      </c>
      <c r="B12" s="432" t="s">
        <v>218</v>
      </c>
      <c r="C12" s="428" t="s">
        <v>443</v>
      </c>
      <c r="D12" s="25"/>
      <c r="E12" s="26"/>
    </row>
    <row r="13" spans="1:5" ht="12.75">
      <c r="A13" s="393" t="s">
        <v>310</v>
      </c>
      <c r="B13" s="433">
        <v>60</v>
      </c>
      <c r="C13" s="438">
        <f>+B13/30</f>
        <v>2</v>
      </c>
      <c r="D13" s="594" t="s">
        <v>259</v>
      </c>
      <c r="E13" s="26"/>
    </row>
    <row r="14" spans="1:5" ht="12.75">
      <c r="A14" s="5" t="s">
        <v>311</v>
      </c>
      <c r="B14" s="434">
        <v>30</v>
      </c>
      <c r="C14" s="438">
        <f>+B14/30</f>
        <v>1</v>
      </c>
      <c r="D14" s="594"/>
      <c r="E14" s="26"/>
    </row>
    <row r="15" spans="1:5" ht="12.75">
      <c r="A15" s="5" t="s">
        <v>312</v>
      </c>
      <c r="B15" s="434">
        <v>60</v>
      </c>
      <c r="C15" s="438">
        <f>+B15/30</f>
        <v>2</v>
      </c>
      <c r="D15" s="594"/>
      <c r="E15" s="26"/>
    </row>
    <row r="16" spans="1:5" ht="12.75">
      <c r="A16" s="5" t="s">
        <v>447</v>
      </c>
      <c r="B16" s="434">
        <v>1</v>
      </c>
      <c r="C16" s="438">
        <f>+B16</f>
        <v>1</v>
      </c>
      <c r="D16" s="429" t="s">
        <v>502</v>
      </c>
      <c r="E16" s="26"/>
    </row>
    <row r="17" spans="1:5" ht="12.75">
      <c r="A17" s="2"/>
      <c r="B17" s="379"/>
      <c r="C17" s="24"/>
      <c r="D17" s="25"/>
      <c r="E17" s="26"/>
    </row>
    <row r="18" spans="1:5" ht="12.75">
      <c r="A18" s="5" t="s">
        <v>109</v>
      </c>
      <c r="B18" s="435">
        <v>0.23</v>
      </c>
      <c r="C18" s="593" t="s">
        <v>213</v>
      </c>
      <c r="D18" s="27"/>
      <c r="E18" s="28"/>
    </row>
    <row r="19" spans="1:5" ht="12.75">
      <c r="A19" s="5" t="s">
        <v>110</v>
      </c>
      <c r="B19" s="435">
        <v>0.23</v>
      </c>
      <c r="C19" s="593"/>
      <c r="D19" s="27"/>
      <c r="E19" s="28"/>
    </row>
    <row r="20" spans="1:5" ht="12.75">
      <c r="A20" s="5" t="s">
        <v>75</v>
      </c>
      <c r="B20" s="435">
        <v>0.23</v>
      </c>
      <c r="C20" s="593"/>
      <c r="D20" s="27"/>
      <c r="E20" s="28"/>
    </row>
    <row r="21" spans="1:5" ht="12.75">
      <c r="A21" s="5" t="s">
        <v>76</v>
      </c>
      <c r="B21" s="435">
        <v>0.23</v>
      </c>
      <c r="C21" s="593"/>
      <c r="D21" s="27"/>
      <c r="E21" s="28"/>
    </row>
    <row r="22" spans="1:5" ht="12.75">
      <c r="A22" s="5" t="s">
        <v>132</v>
      </c>
      <c r="B22" s="435">
        <v>0.23</v>
      </c>
      <c r="C22" s="593"/>
      <c r="D22" s="27"/>
      <c r="E22" s="28"/>
    </row>
    <row r="23" spans="1:5" ht="12.75">
      <c r="A23" s="2"/>
      <c r="B23" s="379"/>
      <c r="C23" s="24"/>
      <c r="D23" s="25"/>
      <c r="E23" s="26"/>
    </row>
    <row r="24" spans="1:5" ht="12.75">
      <c r="A24" s="5" t="s">
        <v>313</v>
      </c>
      <c r="B24" s="435">
        <v>0.2375</v>
      </c>
      <c r="C24" s="612" t="s">
        <v>214</v>
      </c>
      <c r="D24" s="25"/>
      <c r="E24" s="26"/>
    </row>
    <row r="25" spans="1:5" ht="12.75">
      <c r="A25" s="5" t="s">
        <v>446</v>
      </c>
      <c r="B25" s="435">
        <v>0.2375</v>
      </c>
      <c r="C25" s="612"/>
      <c r="D25" s="25"/>
      <c r="E25" s="26"/>
    </row>
    <row r="26" spans="1:5" ht="12.75">
      <c r="A26" s="5" t="s">
        <v>314</v>
      </c>
      <c r="B26" s="435">
        <v>0.11</v>
      </c>
      <c r="C26" s="612"/>
      <c r="D26" s="25"/>
      <c r="E26" s="26"/>
    </row>
    <row r="27" spans="1:5" ht="12.75">
      <c r="A27" s="5" t="s">
        <v>315</v>
      </c>
      <c r="B27" s="435">
        <v>0.11</v>
      </c>
      <c r="C27" s="612"/>
      <c r="D27" s="25"/>
      <c r="E27" s="26"/>
    </row>
    <row r="28" spans="1:5" ht="12.75">
      <c r="A28" s="5" t="s">
        <v>316</v>
      </c>
      <c r="B28" s="435">
        <v>0.15</v>
      </c>
      <c r="C28" s="427" t="s">
        <v>260</v>
      </c>
      <c r="D28" s="25"/>
      <c r="E28" s="26"/>
    </row>
    <row r="29" spans="1:5" ht="13.5" customHeight="1">
      <c r="A29" s="5" t="s">
        <v>61</v>
      </c>
      <c r="B29" s="435">
        <v>0.21</v>
      </c>
      <c r="C29" s="427" t="s">
        <v>261</v>
      </c>
      <c r="D29" s="25"/>
      <c r="E29" s="26"/>
    </row>
    <row r="30" spans="1:5" ht="12.75">
      <c r="A30" s="2"/>
      <c r="B30" s="379"/>
      <c r="C30" s="24"/>
      <c r="D30" s="25"/>
      <c r="E30" s="26"/>
    </row>
    <row r="31" spans="1:5" ht="12.75">
      <c r="A31" s="5" t="s">
        <v>131</v>
      </c>
      <c r="B31" s="435">
        <v>0.005</v>
      </c>
      <c r="C31" s="595" t="s">
        <v>262</v>
      </c>
      <c r="D31" s="25"/>
      <c r="E31" s="26"/>
    </row>
    <row r="32" spans="1:5" ht="12.75">
      <c r="A32" s="5" t="s">
        <v>317</v>
      </c>
      <c r="B32" s="435">
        <v>0</v>
      </c>
      <c r="C32" s="595"/>
      <c r="D32" s="25"/>
      <c r="E32" s="26"/>
    </row>
    <row r="33" spans="1:5" ht="12.75">
      <c r="A33" s="5" t="s">
        <v>318</v>
      </c>
      <c r="B33" s="435">
        <v>0</v>
      </c>
      <c r="C33" s="595"/>
      <c r="D33" s="25"/>
      <c r="E33" s="26"/>
    </row>
    <row r="34" spans="1:5" ht="12.75">
      <c r="A34" s="4"/>
      <c r="B34" s="378"/>
      <c r="C34" s="24"/>
      <c r="D34" s="25"/>
      <c r="E34" s="26"/>
    </row>
    <row r="35" spans="1:5" ht="12.75">
      <c r="A35" s="5" t="s">
        <v>319</v>
      </c>
      <c r="B35" s="436"/>
      <c r="C35" s="596" t="s">
        <v>448</v>
      </c>
      <c r="D35" s="597"/>
      <c r="E35" s="598"/>
    </row>
    <row r="36" spans="1:5" ht="12.75">
      <c r="A36" s="5" t="s">
        <v>489</v>
      </c>
      <c r="B36" s="436"/>
      <c r="C36" s="596" t="s">
        <v>263</v>
      </c>
      <c r="D36" s="597"/>
      <c r="E36" s="598"/>
    </row>
    <row r="37" spans="1:5" ht="12.75">
      <c r="A37" s="5" t="s">
        <v>484</v>
      </c>
      <c r="B37" s="436">
        <v>1</v>
      </c>
      <c r="C37" s="596" t="s">
        <v>485</v>
      </c>
      <c r="D37" s="597"/>
      <c r="E37" s="598"/>
    </row>
    <row r="38" spans="1:5" ht="12" customHeight="1">
      <c r="A38" s="5" t="s">
        <v>320</v>
      </c>
      <c r="B38" s="437">
        <v>0.0001</v>
      </c>
      <c r="C38" s="603" t="s">
        <v>264</v>
      </c>
      <c r="D38" s="604"/>
      <c r="E38" s="605"/>
    </row>
    <row r="39" spans="1:5" ht="12.75">
      <c r="A39" s="560" t="s">
        <v>235</v>
      </c>
      <c r="B39" s="561"/>
      <c r="C39" s="606"/>
      <c r="D39" s="607"/>
      <c r="E39" s="608"/>
    </row>
    <row r="40" spans="1:5" ht="12.75">
      <c r="A40" s="563" t="s">
        <v>490</v>
      </c>
      <c r="B40" s="378"/>
      <c r="C40" s="609"/>
      <c r="D40" s="610"/>
      <c r="E40" s="611"/>
    </row>
    <row r="41" spans="1:5" ht="12.75">
      <c r="A41" s="4"/>
      <c r="B41" s="378"/>
      <c r="C41" s="378"/>
      <c r="D41" s="378"/>
      <c r="E41" s="378"/>
    </row>
    <row r="42" spans="1:5" ht="12.75">
      <c r="A42" s="4"/>
      <c r="B42" s="378"/>
      <c r="C42" s="378"/>
      <c r="D42" s="378"/>
      <c r="E42" s="378"/>
    </row>
    <row r="43" spans="1:5" ht="13.5">
      <c r="A43" s="562" t="s">
        <v>488</v>
      </c>
      <c r="B43" s="600" t="s">
        <v>236</v>
      </c>
      <c r="C43" s="600"/>
      <c r="D43" s="600"/>
      <c r="E43" s="600"/>
    </row>
    <row r="44" spans="1:18" s="265" customFormat="1" ht="21" customHeight="1">
      <c r="A44" s="599" t="s">
        <v>487</v>
      </c>
      <c r="B44" s="599"/>
      <c r="C44" s="599"/>
      <c r="D44" s="599"/>
      <c r="E44" s="599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</row>
    <row r="45" spans="2:18" ht="12.75">
      <c r="B45" s="380"/>
      <c r="C45" s="18"/>
      <c r="D45" s="20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 ht="12.75">
      <c r="B46" s="380"/>
      <c r="C46" s="18"/>
      <c r="D46" s="20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18" ht="12.75">
      <c r="B47" s="380"/>
      <c r="C47" s="18"/>
      <c r="D47" s="20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5" ht="12.75">
      <c r="A48" s="18"/>
      <c r="B48" s="380"/>
      <c r="C48" s="18"/>
      <c r="D48" s="21"/>
      <c r="E48" s="18"/>
    </row>
    <row r="49" spans="1:5" ht="12.75">
      <c r="A49" s="18"/>
      <c r="B49" s="380"/>
      <c r="C49" s="18"/>
      <c r="D49" s="18"/>
      <c r="E49" s="18"/>
    </row>
    <row r="50" spans="1:5" ht="12.75">
      <c r="A50" s="18"/>
      <c r="B50" s="380"/>
      <c r="C50" s="18"/>
      <c r="D50" s="18"/>
      <c r="E50" s="18"/>
    </row>
    <row r="51" spans="1:5" ht="12.75">
      <c r="A51" s="18"/>
      <c r="B51" s="380"/>
      <c r="C51" s="18"/>
      <c r="D51" s="18"/>
      <c r="E51" s="18"/>
    </row>
    <row r="52" spans="1:5" ht="12.75">
      <c r="A52" s="18"/>
      <c r="B52" s="380"/>
      <c r="C52" s="18"/>
      <c r="D52" s="18"/>
      <c r="E52" s="18"/>
    </row>
  </sheetData>
  <sheetProtection password="8318" sheet="1"/>
  <mergeCells count="12">
    <mergeCell ref="A4:E4"/>
    <mergeCell ref="C35:E35"/>
    <mergeCell ref="C36:E36"/>
    <mergeCell ref="A6:E6"/>
    <mergeCell ref="C38:E40"/>
    <mergeCell ref="C24:C27"/>
    <mergeCell ref="C18:C22"/>
    <mergeCell ref="D13:D15"/>
    <mergeCell ref="C31:C33"/>
    <mergeCell ref="C37:E37"/>
    <mergeCell ref="A44:E44"/>
    <mergeCell ref="B43:E43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scale="97" r:id="rId1"/>
  <headerFooter alignWithMargins="0">
    <oddFooter>&amp;C&amp;"Arial,Normal"&amp;8IAPMEI&amp;R&amp;"Arial,Normal"&amp;8&amp;N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zoomScalePageLayoutView="0" workbookViewId="0" topLeftCell="A4">
      <selection activeCell="G20" sqref="A20:G20"/>
    </sheetView>
  </sheetViews>
  <sheetFormatPr defaultColWidth="8.7109375" defaultRowHeight="12.75"/>
  <cols>
    <col min="1" max="1" width="37.57421875" style="47" customWidth="1"/>
    <col min="2" max="2" width="7.8515625" style="47" customWidth="1"/>
    <col min="3" max="14" width="11.421875" style="47" customWidth="1"/>
    <col min="15" max="16384" width="8.7109375" style="47" customWidth="1"/>
  </cols>
  <sheetData>
    <row r="1" spans="1:8" ht="13.5">
      <c r="A1" s="45"/>
      <c r="B1" s="45"/>
      <c r="C1" s="46"/>
      <c r="D1" s="46"/>
      <c r="E1" s="46"/>
      <c r="F1" s="46"/>
      <c r="G1" s="445" t="s">
        <v>44</v>
      </c>
      <c r="H1" s="446" t="str">
        <f>+Pressupostos!E1</f>
        <v>XFCP Lda</v>
      </c>
    </row>
    <row r="2" spans="1:8" ht="13.5">
      <c r="A2" s="48" t="s">
        <v>108</v>
      </c>
      <c r="B2" s="46"/>
      <c r="C2" s="46"/>
      <c r="D2" s="46"/>
      <c r="E2" s="46"/>
      <c r="F2" s="46"/>
      <c r="G2" s="46"/>
      <c r="H2" s="49" t="str">
        <f>+Pressupostos!B9</f>
        <v>Euros</v>
      </c>
    </row>
    <row r="3" spans="1:8" ht="13.5">
      <c r="A3" s="48"/>
      <c r="B3" s="46"/>
      <c r="C3" s="46"/>
      <c r="D3" s="46"/>
      <c r="E3" s="46"/>
      <c r="F3" s="46"/>
      <c r="G3" s="46"/>
      <c r="H3" s="49"/>
    </row>
    <row r="4" spans="1:8" ht="15.75">
      <c r="A4" s="613" t="s">
        <v>143</v>
      </c>
      <c r="B4" s="613"/>
      <c r="C4" s="613"/>
      <c r="D4" s="613"/>
      <c r="E4" s="613"/>
      <c r="F4" s="613"/>
      <c r="G4" s="613"/>
      <c r="H4" s="613"/>
    </row>
    <row r="5" spans="1:8" ht="13.5">
      <c r="A5" s="50"/>
      <c r="B5" s="50"/>
      <c r="C5" s="50"/>
      <c r="D5" s="50"/>
      <c r="E5" s="50"/>
      <c r="F5" s="50"/>
      <c r="G5" s="50"/>
      <c r="H5" s="50"/>
    </row>
    <row r="6" spans="1:8" ht="13.5">
      <c r="A6" s="50"/>
      <c r="B6" s="50"/>
      <c r="C6" s="50"/>
      <c r="D6" s="50"/>
      <c r="E6" s="50"/>
      <c r="F6" s="50"/>
      <c r="G6" s="50"/>
      <c r="H6" s="50"/>
    </row>
    <row r="7" spans="1:8" ht="13.5">
      <c r="A7" s="50"/>
      <c r="B7" s="50"/>
      <c r="C7" s="50"/>
      <c r="D7" s="50"/>
      <c r="E7" s="50"/>
      <c r="F7" s="50"/>
      <c r="G7" s="50"/>
      <c r="H7" s="50"/>
    </row>
    <row r="8" spans="1:8" ht="13.5">
      <c r="A8" s="618"/>
      <c r="B8" s="618"/>
      <c r="C8" s="51">
        <f>+Pressupostos!B11</f>
        <v>2019</v>
      </c>
      <c r="D8" s="51">
        <f>+C8+1</f>
        <v>2020</v>
      </c>
      <c r="E8" s="51">
        <f>+D8+1</f>
        <v>2021</v>
      </c>
      <c r="F8" s="51">
        <f>+E8+1</f>
        <v>2022</v>
      </c>
      <c r="G8" s="51">
        <f>+F8+1</f>
        <v>2023</v>
      </c>
      <c r="H8" s="51">
        <f>+G8+1</f>
        <v>2024</v>
      </c>
    </row>
    <row r="9" spans="1:8" ht="13.5">
      <c r="A9" s="52" t="s">
        <v>321</v>
      </c>
      <c r="B9" s="53"/>
      <c r="C9" s="33"/>
      <c r="D9" s="447"/>
      <c r="E9" s="447"/>
      <c r="F9" s="447"/>
      <c r="G9" s="447"/>
      <c r="H9" s="447"/>
    </row>
    <row r="10" spans="1:8" ht="13.5">
      <c r="A10" s="54"/>
      <c r="B10" s="54"/>
      <c r="C10" s="54"/>
      <c r="D10" s="54"/>
      <c r="E10" s="54"/>
      <c r="F10" s="54"/>
      <c r="G10" s="54"/>
      <c r="H10" s="54"/>
    </row>
    <row r="11" spans="1:8" ht="13.5">
      <c r="A11" s="54"/>
      <c r="B11" s="54"/>
      <c r="C11" s="54"/>
      <c r="D11" s="54"/>
      <c r="E11" s="54"/>
      <c r="F11" s="54"/>
      <c r="G11" s="54"/>
      <c r="H11" s="54"/>
    </row>
    <row r="12" spans="1:8" ht="13.5">
      <c r="A12" s="616" t="s">
        <v>111</v>
      </c>
      <c r="B12" s="617"/>
      <c r="C12" s="51">
        <f aca="true" t="shared" si="0" ref="C12:H12">+C8</f>
        <v>2019</v>
      </c>
      <c r="D12" s="51">
        <f t="shared" si="0"/>
        <v>2020</v>
      </c>
      <c r="E12" s="51">
        <f t="shared" si="0"/>
        <v>2021</v>
      </c>
      <c r="F12" s="51">
        <f t="shared" si="0"/>
        <v>2022</v>
      </c>
      <c r="G12" s="51">
        <f t="shared" si="0"/>
        <v>2023</v>
      </c>
      <c r="H12" s="51">
        <f t="shared" si="0"/>
        <v>2024</v>
      </c>
    </row>
    <row r="13" spans="1:8" ht="13.5">
      <c r="A13" s="619" t="s">
        <v>191</v>
      </c>
      <c r="B13" s="620"/>
      <c r="C13" s="251">
        <f aca="true" t="shared" si="1" ref="C13:H13">+C16*C14</f>
        <v>0</v>
      </c>
      <c r="D13" s="251">
        <f t="shared" si="1"/>
        <v>0</v>
      </c>
      <c r="E13" s="251">
        <f t="shared" si="1"/>
        <v>0</v>
      </c>
      <c r="F13" s="251">
        <f t="shared" si="1"/>
        <v>0</v>
      </c>
      <c r="G13" s="251">
        <f t="shared" si="1"/>
        <v>0</v>
      </c>
      <c r="H13" s="251">
        <f t="shared" si="1"/>
        <v>0</v>
      </c>
    </row>
    <row r="14" spans="1:8" ht="13.5">
      <c r="A14" s="55" t="s">
        <v>322</v>
      </c>
      <c r="B14" s="56"/>
      <c r="C14" s="252"/>
      <c r="D14" s="253">
        <f>+C14*(1+D15)</f>
        <v>0</v>
      </c>
      <c r="E14" s="253">
        <f>+D14*(1+E15)</f>
        <v>0</v>
      </c>
      <c r="F14" s="253">
        <f>+E14*(1+F15)</f>
        <v>0</v>
      </c>
      <c r="G14" s="253">
        <f>+F14*(1+G15)</f>
        <v>0</v>
      </c>
      <c r="H14" s="253">
        <f>+G14*(1+H15)</f>
        <v>0</v>
      </c>
    </row>
    <row r="15" spans="1:8" ht="13.5">
      <c r="A15" s="55" t="s">
        <v>323</v>
      </c>
      <c r="B15" s="56"/>
      <c r="C15" s="254"/>
      <c r="D15" s="255"/>
      <c r="E15" s="255"/>
      <c r="F15" s="255"/>
      <c r="G15" s="255"/>
      <c r="H15" s="255"/>
    </row>
    <row r="16" spans="1:8" ht="13.5">
      <c r="A16" s="55" t="s">
        <v>2</v>
      </c>
      <c r="B16" s="56"/>
      <c r="C16" s="256"/>
      <c r="D16" s="257">
        <f>+C16*(1+D9)</f>
        <v>0</v>
      </c>
      <c r="E16" s="257">
        <f>+D16*(1+E9)</f>
        <v>0</v>
      </c>
      <c r="F16" s="257">
        <f>+E16*(1+F9)</f>
        <v>0</v>
      </c>
      <c r="G16" s="257">
        <f>+F16*(1+G9)</f>
        <v>0</v>
      </c>
      <c r="H16" s="257">
        <f>+G16*(1+H9)</f>
        <v>0</v>
      </c>
    </row>
    <row r="17" spans="1:8" ht="13.5">
      <c r="A17" s="619" t="s">
        <v>192</v>
      </c>
      <c r="B17" s="620"/>
      <c r="C17" s="251">
        <f aca="true" t="shared" si="2" ref="C17:H17">+C20*C18</f>
        <v>0</v>
      </c>
      <c r="D17" s="251">
        <f t="shared" si="2"/>
        <v>0</v>
      </c>
      <c r="E17" s="251">
        <f t="shared" si="2"/>
        <v>0</v>
      </c>
      <c r="F17" s="251">
        <f t="shared" si="2"/>
        <v>0</v>
      </c>
      <c r="G17" s="251">
        <f t="shared" si="2"/>
        <v>0</v>
      </c>
      <c r="H17" s="251">
        <f t="shared" si="2"/>
        <v>0</v>
      </c>
    </row>
    <row r="18" spans="1:8" ht="13.5">
      <c r="A18" s="55" t="s">
        <v>322</v>
      </c>
      <c r="B18" s="56"/>
      <c r="C18" s="252"/>
      <c r="D18" s="253">
        <f>+C18*(1+D19)</f>
        <v>0</v>
      </c>
      <c r="E18" s="253">
        <f>+D18*(1+E19)</f>
        <v>0</v>
      </c>
      <c r="F18" s="253">
        <f>+E18*(1+F19)</f>
        <v>0</v>
      </c>
      <c r="G18" s="253">
        <f>+F18*(1+G19)</f>
        <v>0</v>
      </c>
      <c r="H18" s="253">
        <f>+G18*(1+H19)</f>
        <v>0</v>
      </c>
    </row>
    <row r="19" spans="1:8" ht="13.5">
      <c r="A19" s="55" t="s">
        <v>323</v>
      </c>
      <c r="B19" s="56"/>
      <c r="C19" s="254"/>
      <c r="D19" s="255"/>
      <c r="E19" s="255"/>
      <c r="F19" s="255"/>
      <c r="G19" s="255"/>
      <c r="H19" s="255"/>
    </row>
    <row r="20" spans="1:8" ht="13.5">
      <c r="A20" s="55" t="s">
        <v>2</v>
      </c>
      <c r="B20" s="56"/>
      <c r="C20" s="256"/>
      <c r="D20" s="257">
        <f>+C20*(1+D9)</f>
        <v>0</v>
      </c>
      <c r="E20" s="257">
        <f>+D20*(1+E9)</f>
        <v>0</v>
      </c>
      <c r="F20" s="257">
        <f>+E20*(1+F9)</f>
        <v>0</v>
      </c>
      <c r="G20" s="257">
        <f>+F20*(1+G9)</f>
        <v>0</v>
      </c>
      <c r="H20" s="257">
        <f>+G20*(1+H9)</f>
        <v>0</v>
      </c>
    </row>
    <row r="21" spans="1:8" ht="13.5">
      <c r="A21" s="619" t="s">
        <v>91</v>
      </c>
      <c r="B21" s="620"/>
      <c r="C21" s="251">
        <f aca="true" t="shared" si="3" ref="C21:H21">+C24*C22</f>
        <v>0</v>
      </c>
      <c r="D21" s="251">
        <f t="shared" si="3"/>
        <v>0</v>
      </c>
      <c r="E21" s="251">
        <f t="shared" si="3"/>
        <v>0</v>
      </c>
      <c r="F21" s="251">
        <f t="shared" si="3"/>
        <v>0</v>
      </c>
      <c r="G21" s="251">
        <f t="shared" si="3"/>
        <v>0</v>
      </c>
      <c r="H21" s="251">
        <f t="shared" si="3"/>
        <v>0</v>
      </c>
    </row>
    <row r="22" spans="1:8" ht="13.5">
      <c r="A22" s="55" t="s">
        <v>322</v>
      </c>
      <c r="B22" s="56"/>
      <c r="C22" s="252"/>
      <c r="D22" s="253">
        <f>+C22*(1+D23)</f>
        <v>0</v>
      </c>
      <c r="E22" s="253">
        <f>+D22*(1+E23)</f>
        <v>0</v>
      </c>
      <c r="F22" s="253">
        <f>+E22*(1+F23)</f>
        <v>0</v>
      </c>
      <c r="G22" s="253">
        <f>+F22*(1+G23)</f>
        <v>0</v>
      </c>
      <c r="H22" s="253">
        <f>+G22*(1+H23)</f>
        <v>0</v>
      </c>
    </row>
    <row r="23" spans="1:8" ht="13.5">
      <c r="A23" s="55" t="s">
        <v>323</v>
      </c>
      <c r="B23" s="56"/>
      <c r="C23" s="254"/>
      <c r="D23" s="255"/>
      <c r="E23" s="255"/>
      <c r="F23" s="255"/>
      <c r="G23" s="255"/>
      <c r="H23" s="255"/>
    </row>
    <row r="24" spans="1:8" ht="13.5">
      <c r="A24" s="55" t="s">
        <v>2</v>
      </c>
      <c r="B24" s="56"/>
      <c r="C24" s="256"/>
      <c r="D24" s="257">
        <f>+C24*(1+D9)</f>
        <v>0</v>
      </c>
      <c r="E24" s="257">
        <f>+D24*(1+E9)</f>
        <v>0</v>
      </c>
      <c r="F24" s="257">
        <f>+E24*(1+F9)</f>
        <v>0</v>
      </c>
      <c r="G24" s="257">
        <f>+F24*(1+G9)</f>
        <v>0</v>
      </c>
      <c r="H24" s="257">
        <f>+G24*(1+H9)</f>
        <v>0</v>
      </c>
    </row>
    <row r="25" spans="1:8" ht="13.5">
      <c r="A25" s="619" t="s">
        <v>92</v>
      </c>
      <c r="B25" s="620"/>
      <c r="C25" s="251">
        <f aca="true" t="shared" si="4" ref="C25:H25">+C28*C26</f>
        <v>0</v>
      </c>
      <c r="D25" s="251">
        <f t="shared" si="4"/>
        <v>0</v>
      </c>
      <c r="E25" s="251">
        <f t="shared" si="4"/>
        <v>0</v>
      </c>
      <c r="F25" s="251">
        <f t="shared" si="4"/>
        <v>0</v>
      </c>
      <c r="G25" s="251">
        <f t="shared" si="4"/>
        <v>0</v>
      </c>
      <c r="H25" s="251">
        <f t="shared" si="4"/>
        <v>0</v>
      </c>
    </row>
    <row r="26" spans="1:8" ht="13.5">
      <c r="A26" s="55" t="s">
        <v>322</v>
      </c>
      <c r="B26" s="56"/>
      <c r="C26" s="252"/>
      <c r="D26" s="253">
        <f>+C26*(1+D27)</f>
        <v>0</v>
      </c>
      <c r="E26" s="253">
        <f>+D26*(1+E27)</f>
        <v>0</v>
      </c>
      <c r="F26" s="253">
        <f>+E26*(1+F27)</f>
        <v>0</v>
      </c>
      <c r="G26" s="253">
        <f>+F26*(1+G27)</f>
        <v>0</v>
      </c>
      <c r="H26" s="253">
        <f>+G26*(1+H27)</f>
        <v>0</v>
      </c>
    </row>
    <row r="27" spans="1:8" ht="13.5">
      <c r="A27" s="55" t="s">
        <v>323</v>
      </c>
      <c r="B27" s="56"/>
      <c r="C27" s="254"/>
      <c r="D27" s="255"/>
      <c r="E27" s="255"/>
      <c r="F27" s="255"/>
      <c r="G27" s="255"/>
      <c r="H27" s="255"/>
    </row>
    <row r="28" spans="1:8" ht="13.5">
      <c r="A28" s="55" t="s">
        <v>2</v>
      </c>
      <c r="B28" s="56"/>
      <c r="C28" s="256"/>
      <c r="D28" s="257">
        <f>+C28*(1+D9)</f>
        <v>0</v>
      </c>
      <c r="E28" s="257">
        <f>+D28*(1+E9)</f>
        <v>0</v>
      </c>
      <c r="F28" s="257">
        <f>+E28*(1+F9)</f>
        <v>0</v>
      </c>
      <c r="G28" s="257">
        <f>+F28*(1+G9)</f>
        <v>0</v>
      </c>
      <c r="H28" s="257">
        <f>+G28*(1+H9)</f>
        <v>0</v>
      </c>
    </row>
    <row r="29" spans="1:8" ht="14.25" thickBot="1">
      <c r="A29" s="614" t="s">
        <v>63</v>
      </c>
      <c r="B29" s="615"/>
      <c r="C29" s="34">
        <f aca="true" t="shared" si="5" ref="C29:H29">+C13+C17+C21+C25</f>
        <v>0</v>
      </c>
      <c r="D29" s="34">
        <f t="shared" si="5"/>
        <v>0</v>
      </c>
      <c r="E29" s="34">
        <f t="shared" si="5"/>
        <v>0</v>
      </c>
      <c r="F29" s="34">
        <f t="shared" si="5"/>
        <v>0</v>
      </c>
      <c r="G29" s="34">
        <f t="shared" si="5"/>
        <v>0</v>
      </c>
      <c r="H29" s="34">
        <f t="shared" si="5"/>
        <v>0</v>
      </c>
    </row>
    <row r="30" spans="1:8" ht="14.25" thickTop="1">
      <c r="A30" s="57"/>
      <c r="B30" s="57"/>
      <c r="C30" s="58"/>
      <c r="D30" s="58"/>
      <c r="E30" s="58"/>
      <c r="F30" s="58"/>
      <c r="G30" s="58"/>
      <c r="H30" s="58"/>
    </row>
    <row r="31" spans="1:8" ht="13.5">
      <c r="A31" s="57"/>
      <c r="B31" s="57"/>
      <c r="C31" s="58"/>
      <c r="D31" s="58"/>
      <c r="E31" s="58"/>
      <c r="F31" s="58"/>
      <c r="G31" s="58"/>
      <c r="H31" s="58"/>
    </row>
    <row r="32" spans="1:8" ht="13.5">
      <c r="A32" s="622" t="s">
        <v>112</v>
      </c>
      <c r="B32" s="622"/>
      <c r="C32" s="51">
        <f aca="true" t="shared" si="6" ref="C32:H32">+C8</f>
        <v>2019</v>
      </c>
      <c r="D32" s="51">
        <f t="shared" si="6"/>
        <v>2020</v>
      </c>
      <c r="E32" s="51">
        <f t="shared" si="6"/>
        <v>2021</v>
      </c>
      <c r="F32" s="51">
        <f t="shared" si="6"/>
        <v>2022</v>
      </c>
      <c r="G32" s="51">
        <f t="shared" si="6"/>
        <v>2023</v>
      </c>
      <c r="H32" s="51">
        <f t="shared" si="6"/>
        <v>2024</v>
      </c>
    </row>
    <row r="33" spans="1:8" ht="13.5">
      <c r="A33" s="619" t="str">
        <f>A13</f>
        <v>Produto A</v>
      </c>
      <c r="B33" s="620"/>
      <c r="C33" s="251">
        <f aca="true" t="shared" si="7" ref="C33:H33">+C36*C34</f>
        <v>0</v>
      </c>
      <c r="D33" s="251">
        <f t="shared" si="7"/>
        <v>0</v>
      </c>
      <c r="E33" s="251">
        <f t="shared" si="7"/>
        <v>0</v>
      </c>
      <c r="F33" s="251">
        <f t="shared" si="7"/>
        <v>0</v>
      </c>
      <c r="G33" s="251">
        <f t="shared" si="7"/>
        <v>0</v>
      </c>
      <c r="H33" s="251">
        <f t="shared" si="7"/>
        <v>0</v>
      </c>
    </row>
    <row r="34" spans="1:8" ht="13.5">
      <c r="A34" s="55" t="s">
        <v>322</v>
      </c>
      <c r="B34" s="56"/>
      <c r="C34" s="252"/>
      <c r="D34" s="253">
        <f>+C34*(1+D35)</f>
        <v>0</v>
      </c>
      <c r="E34" s="253">
        <f>+D34*(1+E35)</f>
        <v>0</v>
      </c>
      <c r="F34" s="253">
        <f>+E34*(1+F35)</f>
        <v>0</v>
      </c>
      <c r="G34" s="253">
        <f>+F34*(1+G35)</f>
        <v>0</v>
      </c>
      <c r="H34" s="253">
        <f>+G34*(1+H35)</f>
        <v>0</v>
      </c>
    </row>
    <row r="35" spans="1:8" ht="13.5">
      <c r="A35" s="55" t="s">
        <v>323</v>
      </c>
      <c r="B35" s="56"/>
      <c r="C35" s="254"/>
      <c r="D35" s="255"/>
      <c r="E35" s="255"/>
      <c r="F35" s="255"/>
      <c r="G35" s="255"/>
      <c r="H35" s="255"/>
    </row>
    <row r="36" spans="1:8" ht="13.5">
      <c r="A36" s="55" t="s">
        <v>2</v>
      </c>
      <c r="B36" s="56"/>
      <c r="C36" s="256"/>
      <c r="D36" s="257">
        <f>+C36*(1+D9)</f>
        <v>0</v>
      </c>
      <c r="E36" s="257">
        <f>+D36*(1+E9)</f>
        <v>0</v>
      </c>
      <c r="F36" s="257">
        <f>+E36*(1+F9)</f>
        <v>0</v>
      </c>
      <c r="G36" s="257">
        <f>+F36*(1+G9)</f>
        <v>0</v>
      </c>
      <c r="H36" s="257">
        <f>+G36*(1+H9)</f>
        <v>0</v>
      </c>
    </row>
    <row r="37" spans="1:8" ht="13.5">
      <c r="A37" s="619" t="str">
        <f>A17</f>
        <v>Produto B</v>
      </c>
      <c r="B37" s="620"/>
      <c r="C37" s="251">
        <f aca="true" t="shared" si="8" ref="C37:H37">+C40*C38</f>
        <v>0</v>
      </c>
      <c r="D37" s="251">
        <f t="shared" si="8"/>
        <v>0</v>
      </c>
      <c r="E37" s="251">
        <f t="shared" si="8"/>
        <v>0</v>
      </c>
      <c r="F37" s="251">
        <f t="shared" si="8"/>
        <v>0</v>
      </c>
      <c r="G37" s="251">
        <f t="shared" si="8"/>
        <v>0</v>
      </c>
      <c r="H37" s="251">
        <f t="shared" si="8"/>
        <v>0</v>
      </c>
    </row>
    <row r="38" spans="1:8" ht="13.5">
      <c r="A38" s="55" t="s">
        <v>322</v>
      </c>
      <c r="B38" s="56"/>
      <c r="C38" s="252"/>
      <c r="D38" s="253">
        <f>+C38*(1+D39)</f>
        <v>0</v>
      </c>
      <c r="E38" s="253">
        <f>+D38*(1+E39)</f>
        <v>0</v>
      </c>
      <c r="F38" s="253">
        <f>+E38*(1+F39)</f>
        <v>0</v>
      </c>
      <c r="G38" s="253">
        <f>+F38*(1+G39)</f>
        <v>0</v>
      </c>
      <c r="H38" s="253">
        <f>+G38*(1+H39)</f>
        <v>0</v>
      </c>
    </row>
    <row r="39" spans="1:8" ht="13.5">
      <c r="A39" s="55" t="s">
        <v>323</v>
      </c>
      <c r="B39" s="56"/>
      <c r="C39" s="254"/>
      <c r="D39" s="255"/>
      <c r="E39" s="255"/>
      <c r="F39" s="255"/>
      <c r="G39" s="255"/>
      <c r="H39" s="255"/>
    </row>
    <row r="40" spans="1:8" ht="13.5">
      <c r="A40" s="55" t="s">
        <v>2</v>
      </c>
      <c r="B40" s="56"/>
      <c r="C40" s="256"/>
      <c r="D40" s="257">
        <f>+C40*(1+D9)</f>
        <v>0</v>
      </c>
      <c r="E40" s="257">
        <f>+D40*(1+E9)</f>
        <v>0</v>
      </c>
      <c r="F40" s="257">
        <f>+E40*(1+F9)</f>
        <v>0</v>
      </c>
      <c r="G40" s="257">
        <f>+F40*(1+G9)</f>
        <v>0</v>
      </c>
      <c r="H40" s="257">
        <f>+G40*(1+H9)</f>
        <v>0</v>
      </c>
    </row>
    <row r="41" spans="1:8" ht="14.25" thickBot="1">
      <c r="A41" s="624" t="s">
        <v>63</v>
      </c>
      <c r="B41" s="624"/>
      <c r="C41" s="34">
        <f aca="true" t="shared" si="9" ref="C41:H41">+C33+C37</f>
        <v>0</v>
      </c>
      <c r="D41" s="34">
        <f t="shared" si="9"/>
        <v>0</v>
      </c>
      <c r="E41" s="34">
        <f t="shared" si="9"/>
        <v>0</v>
      </c>
      <c r="F41" s="34">
        <f t="shared" si="9"/>
        <v>0</v>
      </c>
      <c r="G41" s="34">
        <f t="shared" si="9"/>
        <v>0</v>
      </c>
      <c r="H41" s="34">
        <f t="shared" si="9"/>
        <v>0</v>
      </c>
    </row>
    <row r="42" spans="1:8" ht="14.25" thickTop="1">
      <c r="A42" s="59" t="s">
        <v>325</v>
      </c>
      <c r="B42" s="57"/>
      <c r="C42" s="58"/>
      <c r="D42" s="58"/>
      <c r="E42" s="58"/>
      <c r="F42" s="58"/>
      <c r="G42" s="58"/>
      <c r="H42" s="58"/>
    </row>
    <row r="43" spans="1:10" ht="13.5">
      <c r="A43" s="449" t="s">
        <v>326</v>
      </c>
      <c r="B43" s="60"/>
      <c r="C43" s="61"/>
      <c r="D43" s="61"/>
      <c r="E43" s="61"/>
      <c r="F43" s="61"/>
      <c r="G43" s="61"/>
      <c r="H43" s="61"/>
      <c r="I43" s="62"/>
      <c r="J43" s="62"/>
    </row>
    <row r="44" spans="1:10" ht="13.5">
      <c r="A44" s="54"/>
      <c r="B44" s="60"/>
      <c r="C44" s="61"/>
      <c r="D44" s="61"/>
      <c r="E44" s="61"/>
      <c r="F44" s="61"/>
      <c r="G44" s="61"/>
      <c r="H44" s="61"/>
      <c r="I44" s="62"/>
      <c r="J44" s="62"/>
    </row>
    <row r="45" spans="1:10" ht="13.5">
      <c r="A45" s="622" t="s">
        <v>144</v>
      </c>
      <c r="B45" s="622"/>
      <c r="C45" s="51">
        <f aca="true" t="shared" si="10" ref="C45:H45">+C8</f>
        <v>2019</v>
      </c>
      <c r="D45" s="51">
        <f t="shared" si="10"/>
        <v>2020</v>
      </c>
      <c r="E45" s="51">
        <f t="shared" si="10"/>
        <v>2021</v>
      </c>
      <c r="F45" s="51">
        <f t="shared" si="10"/>
        <v>2022</v>
      </c>
      <c r="G45" s="51">
        <f t="shared" si="10"/>
        <v>2023</v>
      </c>
      <c r="H45" s="51">
        <f t="shared" si="10"/>
        <v>2024</v>
      </c>
      <c r="I45" s="62"/>
      <c r="J45" s="62"/>
    </row>
    <row r="46" spans="1:10" ht="13.5">
      <c r="A46" s="619" t="s">
        <v>219</v>
      </c>
      <c r="B46" s="620"/>
      <c r="C46" s="252"/>
      <c r="D46" s="253">
        <f>+C46*(1+D47)</f>
        <v>0</v>
      </c>
      <c r="E46" s="253">
        <f>+D46*(1+E47)</f>
        <v>0</v>
      </c>
      <c r="F46" s="253">
        <f>+E46*(1+F47)</f>
        <v>0</v>
      </c>
      <c r="G46" s="253">
        <f>+F46*(1+G47)</f>
        <v>0</v>
      </c>
      <c r="H46" s="253">
        <f>+G46*(1+H47)</f>
        <v>0</v>
      </c>
      <c r="I46" s="62"/>
      <c r="J46" s="62"/>
    </row>
    <row r="47" spans="1:10" ht="13.5">
      <c r="A47" s="55" t="s">
        <v>327</v>
      </c>
      <c r="B47" s="56"/>
      <c r="C47" s="254"/>
      <c r="D47" s="255"/>
      <c r="E47" s="255"/>
      <c r="F47" s="255"/>
      <c r="G47" s="255"/>
      <c r="H47" s="255"/>
      <c r="I47" s="62"/>
      <c r="J47" s="62"/>
    </row>
    <row r="48" spans="1:10" ht="13.5">
      <c r="A48" s="619" t="s">
        <v>324</v>
      </c>
      <c r="B48" s="620"/>
      <c r="C48" s="252"/>
      <c r="D48" s="253"/>
      <c r="E48" s="253"/>
      <c r="F48" s="253"/>
      <c r="G48" s="253"/>
      <c r="H48" s="253"/>
      <c r="I48" s="62"/>
      <c r="J48" s="62"/>
    </row>
    <row r="49" spans="1:10" ht="13.5">
      <c r="A49" s="55" t="s">
        <v>327</v>
      </c>
      <c r="B49" s="56"/>
      <c r="C49" s="254"/>
      <c r="D49" s="255"/>
      <c r="E49" s="255"/>
      <c r="F49" s="255"/>
      <c r="G49" s="255"/>
      <c r="H49" s="255"/>
      <c r="I49" s="62"/>
      <c r="J49" s="62"/>
    </row>
    <row r="50" spans="1:10" ht="13.5">
      <c r="A50" s="619" t="s">
        <v>328</v>
      </c>
      <c r="B50" s="620"/>
      <c r="C50" s="252"/>
      <c r="D50" s="253">
        <f>+C50*(1+D51)</f>
        <v>0</v>
      </c>
      <c r="E50" s="253">
        <f>+D50*(1+E51)</f>
        <v>0</v>
      </c>
      <c r="F50" s="253">
        <f>+E50*(1+F51)</f>
        <v>0</v>
      </c>
      <c r="G50" s="253">
        <f>+F50*(1+G51)</f>
        <v>0</v>
      </c>
      <c r="H50" s="253">
        <f>+G50*(1+H51)</f>
        <v>0</v>
      </c>
      <c r="I50" s="62"/>
      <c r="J50" s="62"/>
    </row>
    <row r="51" spans="1:10" ht="13.5">
      <c r="A51" s="55" t="s">
        <v>327</v>
      </c>
      <c r="B51" s="56"/>
      <c r="C51" s="254"/>
      <c r="D51" s="255"/>
      <c r="E51" s="255"/>
      <c r="F51" s="255"/>
      <c r="G51" s="255"/>
      <c r="H51" s="255"/>
      <c r="I51" s="62"/>
      <c r="J51" s="62"/>
    </row>
    <row r="52" spans="1:10" ht="13.5">
      <c r="A52" s="619" t="s">
        <v>329</v>
      </c>
      <c r="B52" s="620"/>
      <c r="C52" s="252"/>
      <c r="D52" s="253">
        <f>+C52*(1+D53)</f>
        <v>0</v>
      </c>
      <c r="E52" s="253">
        <f>+D52*(1+E53)</f>
        <v>0</v>
      </c>
      <c r="F52" s="253">
        <f>+E52*(1+F53)</f>
        <v>0</v>
      </c>
      <c r="G52" s="253">
        <f>+F52*(1+G53)</f>
        <v>0</v>
      </c>
      <c r="H52" s="253">
        <f>+G52*(1+H53)</f>
        <v>0</v>
      </c>
      <c r="I52" s="62"/>
      <c r="J52" s="62"/>
    </row>
    <row r="53" spans="1:10" ht="13.5">
      <c r="A53" s="55" t="s">
        <v>327</v>
      </c>
      <c r="B53" s="56"/>
      <c r="C53" s="254"/>
      <c r="D53" s="255"/>
      <c r="E53" s="255"/>
      <c r="F53" s="255"/>
      <c r="G53" s="255"/>
      <c r="H53" s="255"/>
      <c r="I53" s="62"/>
      <c r="J53" s="62"/>
    </row>
    <row r="54" spans="1:8" ht="14.25" thickBot="1">
      <c r="A54" s="624" t="s">
        <v>63</v>
      </c>
      <c r="B54" s="624"/>
      <c r="C54" s="34">
        <f aca="true" t="shared" si="11" ref="C54:H54">+C46+C48+C50+C52</f>
        <v>0</v>
      </c>
      <c r="D54" s="34">
        <f t="shared" si="11"/>
        <v>0</v>
      </c>
      <c r="E54" s="34">
        <f t="shared" si="11"/>
        <v>0</v>
      </c>
      <c r="F54" s="34">
        <f t="shared" si="11"/>
        <v>0</v>
      </c>
      <c r="G54" s="34">
        <f t="shared" si="11"/>
        <v>0</v>
      </c>
      <c r="H54" s="34">
        <f t="shared" si="11"/>
        <v>0</v>
      </c>
    </row>
    <row r="55" spans="1:10" ht="14.25" thickTop="1">
      <c r="A55" s="64"/>
      <c r="B55" s="65"/>
      <c r="C55" s="61"/>
      <c r="D55" s="61"/>
      <c r="E55" s="61"/>
      <c r="F55" s="61"/>
      <c r="G55" s="61"/>
      <c r="H55" s="61"/>
      <c r="I55" s="62"/>
      <c r="J55" s="62"/>
    </row>
    <row r="56" spans="1:10" ht="13.5">
      <c r="A56" s="64"/>
      <c r="B56" s="65"/>
      <c r="C56" s="61"/>
      <c r="D56" s="61"/>
      <c r="E56" s="61"/>
      <c r="F56" s="61"/>
      <c r="G56" s="61"/>
      <c r="H56" s="61"/>
      <c r="I56" s="62"/>
      <c r="J56" s="62"/>
    </row>
    <row r="57" spans="1:10" ht="13.5">
      <c r="A57" s="622" t="s">
        <v>145</v>
      </c>
      <c r="B57" s="622"/>
      <c r="C57" s="66">
        <f aca="true" t="shared" si="12" ref="C57:H57">+C8</f>
        <v>2019</v>
      </c>
      <c r="D57" s="66">
        <f t="shared" si="12"/>
        <v>2020</v>
      </c>
      <c r="E57" s="66">
        <f t="shared" si="12"/>
        <v>2021</v>
      </c>
      <c r="F57" s="66">
        <f t="shared" si="12"/>
        <v>2022</v>
      </c>
      <c r="G57" s="66">
        <f t="shared" si="12"/>
        <v>2023</v>
      </c>
      <c r="H57" s="66">
        <f t="shared" si="12"/>
        <v>2024</v>
      </c>
      <c r="I57" s="62"/>
      <c r="J57" s="62"/>
    </row>
    <row r="58" spans="1:10" ht="13.5">
      <c r="A58" s="619" t="str">
        <f>A46</f>
        <v>Estudos</v>
      </c>
      <c r="B58" s="620"/>
      <c r="C58" s="252"/>
      <c r="D58" s="253"/>
      <c r="E58" s="253"/>
      <c r="F58" s="253"/>
      <c r="G58" s="253"/>
      <c r="H58" s="253"/>
      <c r="I58" s="62"/>
      <c r="J58" s="62"/>
    </row>
    <row r="59" spans="1:10" ht="13.5">
      <c r="A59" s="55" t="s">
        <v>327</v>
      </c>
      <c r="B59" s="56"/>
      <c r="C59" s="254"/>
      <c r="D59" s="255"/>
      <c r="E59" s="255"/>
      <c r="F59" s="255"/>
      <c r="G59" s="255"/>
      <c r="H59" s="255"/>
      <c r="I59" s="62"/>
      <c r="J59" s="62"/>
    </row>
    <row r="60" spans="1:10" ht="13.5">
      <c r="A60" s="619" t="str">
        <f>A48</f>
        <v>Contratos de Consultoria e Assistência Técnica</v>
      </c>
      <c r="B60" s="620"/>
      <c r="C60" s="252"/>
      <c r="D60" s="253">
        <f>+C60*(1+D61)</f>
        <v>0</v>
      </c>
      <c r="E60" s="253">
        <f>+D60*(1+E61)</f>
        <v>0</v>
      </c>
      <c r="F60" s="253">
        <f>+E60*(1+F61)</f>
        <v>0</v>
      </c>
      <c r="G60" s="253">
        <f>+F60*(1+G61)</f>
        <v>0</v>
      </c>
      <c r="H60" s="253">
        <f>+G60*(1+H61)</f>
        <v>0</v>
      </c>
      <c r="I60" s="62"/>
      <c r="J60" s="62"/>
    </row>
    <row r="61" spans="1:10" ht="13.5">
      <c r="A61" s="55" t="s">
        <v>327</v>
      </c>
      <c r="B61" s="56"/>
      <c r="C61" s="254"/>
      <c r="D61" s="255"/>
      <c r="E61" s="255"/>
      <c r="F61" s="255"/>
      <c r="G61" s="255"/>
      <c r="H61" s="255"/>
      <c r="I61" s="62"/>
      <c r="J61" s="62"/>
    </row>
    <row r="62" spans="1:10" ht="13.5">
      <c r="A62" s="619" t="str">
        <f>A50</f>
        <v>Serviços Diversos Não Especificados</v>
      </c>
      <c r="B62" s="620"/>
      <c r="C62" s="252"/>
      <c r="D62" s="253">
        <f>+C62*(1+D63)</f>
        <v>0</v>
      </c>
      <c r="E62" s="253">
        <f>+D62*(1+E63)</f>
        <v>0</v>
      </c>
      <c r="F62" s="253">
        <f>+E62*(1+F63)</f>
        <v>0</v>
      </c>
      <c r="G62" s="253">
        <f>+F62*(1+G63)</f>
        <v>0</v>
      </c>
      <c r="H62" s="253">
        <f>+G62*(1+H63)</f>
        <v>0</v>
      </c>
      <c r="I62" s="62"/>
      <c r="J62" s="62"/>
    </row>
    <row r="63" spans="1:10" ht="13.5">
      <c r="A63" s="55" t="s">
        <v>327</v>
      </c>
      <c r="B63" s="56"/>
      <c r="C63" s="254"/>
      <c r="D63" s="255"/>
      <c r="E63" s="255"/>
      <c r="F63" s="255"/>
      <c r="G63" s="255"/>
      <c r="H63" s="255"/>
      <c r="I63" s="62"/>
      <c r="J63" s="62"/>
    </row>
    <row r="64" spans="1:10" ht="13.5">
      <c r="A64" s="619" t="str">
        <f>A52</f>
        <v>Outros Serviços Diversos Não Especificados</v>
      </c>
      <c r="B64" s="620"/>
      <c r="C64" s="252"/>
      <c r="D64" s="253">
        <f>+C64*(1+D65)</f>
        <v>0</v>
      </c>
      <c r="E64" s="253">
        <f>+D64*(1+E65)</f>
        <v>0</v>
      </c>
      <c r="F64" s="253">
        <f>+E64*(1+F65)</f>
        <v>0</v>
      </c>
      <c r="G64" s="253">
        <f>+F64*(1+G65)</f>
        <v>0</v>
      </c>
      <c r="H64" s="253">
        <f>+G64*(1+H65)</f>
        <v>0</v>
      </c>
      <c r="I64" s="62"/>
      <c r="J64" s="62"/>
    </row>
    <row r="65" spans="1:10" ht="13.5">
      <c r="A65" s="55" t="s">
        <v>327</v>
      </c>
      <c r="B65" s="56"/>
      <c r="C65" s="254"/>
      <c r="D65" s="255"/>
      <c r="E65" s="255"/>
      <c r="F65" s="255"/>
      <c r="G65" s="255"/>
      <c r="H65" s="255"/>
      <c r="I65" s="62"/>
      <c r="J65" s="62"/>
    </row>
    <row r="66" spans="1:8" ht="14.25" thickBot="1">
      <c r="A66" s="624" t="s">
        <v>63</v>
      </c>
      <c r="B66" s="624"/>
      <c r="C66" s="34">
        <f aca="true" t="shared" si="13" ref="C66:H66">+C58+C60+C62+C64</f>
        <v>0</v>
      </c>
      <c r="D66" s="34">
        <f t="shared" si="13"/>
        <v>0</v>
      </c>
      <c r="E66" s="34">
        <f t="shared" si="13"/>
        <v>0</v>
      </c>
      <c r="F66" s="34">
        <f t="shared" si="13"/>
        <v>0</v>
      </c>
      <c r="G66" s="34">
        <f t="shared" si="13"/>
        <v>0</v>
      </c>
      <c r="H66" s="34">
        <f t="shared" si="13"/>
        <v>0</v>
      </c>
    </row>
    <row r="67" spans="1:10" ht="14.25" thickTop="1">
      <c r="A67" s="64"/>
      <c r="B67" s="65"/>
      <c r="C67" s="61"/>
      <c r="D67" s="61"/>
      <c r="E67" s="61"/>
      <c r="F67" s="61"/>
      <c r="G67" s="61"/>
      <c r="H67" s="61"/>
      <c r="I67" s="62"/>
      <c r="J67" s="62"/>
    </row>
    <row r="68" spans="1:10" ht="13.5">
      <c r="A68" s="64"/>
      <c r="B68" s="65"/>
      <c r="C68" s="61"/>
      <c r="D68" s="61"/>
      <c r="E68" s="61"/>
      <c r="F68" s="61"/>
      <c r="G68" s="61"/>
      <c r="H68" s="61"/>
      <c r="I68" s="62"/>
      <c r="J68" s="62"/>
    </row>
    <row r="69" spans="1:10" ht="13.5">
      <c r="A69" s="623" t="s">
        <v>113</v>
      </c>
      <c r="B69" s="623"/>
      <c r="C69" s="67">
        <f aca="true" t="shared" si="14" ref="C69:H69">+C29</f>
        <v>0</v>
      </c>
      <c r="D69" s="67">
        <f t="shared" si="14"/>
        <v>0</v>
      </c>
      <c r="E69" s="67">
        <f t="shared" si="14"/>
        <v>0</v>
      </c>
      <c r="F69" s="67">
        <f t="shared" si="14"/>
        <v>0</v>
      </c>
      <c r="G69" s="67">
        <f t="shared" si="14"/>
        <v>0</v>
      </c>
      <c r="H69" s="67">
        <f t="shared" si="14"/>
        <v>0</v>
      </c>
      <c r="I69" s="62"/>
      <c r="J69" s="62"/>
    </row>
    <row r="70" spans="1:10" ht="13.5">
      <c r="A70" s="623" t="s">
        <v>114</v>
      </c>
      <c r="B70" s="623"/>
      <c r="C70" s="67">
        <f aca="true" t="shared" si="15" ref="C70:H70">+C41</f>
        <v>0</v>
      </c>
      <c r="D70" s="67">
        <f t="shared" si="15"/>
        <v>0</v>
      </c>
      <c r="E70" s="67">
        <f t="shared" si="15"/>
        <v>0</v>
      </c>
      <c r="F70" s="67">
        <f t="shared" si="15"/>
        <v>0</v>
      </c>
      <c r="G70" s="67">
        <f t="shared" si="15"/>
        <v>0</v>
      </c>
      <c r="H70" s="67">
        <f t="shared" si="15"/>
        <v>0</v>
      </c>
      <c r="I70" s="62"/>
      <c r="J70" s="62"/>
    </row>
    <row r="71" spans="1:10" ht="13.5">
      <c r="A71" s="623" t="s">
        <v>45</v>
      </c>
      <c r="B71" s="623"/>
      <c r="C71" s="72">
        <f aca="true" t="shared" si="16" ref="C71:H71">+C69+C70</f>
        <v>0</v>
      </c>
      <c r="D71" s="72">
        <f t="shared" si="16"/>
        <v>0</v>
      </c>
      <c r="E71" s="72">
        <f t="shared" si="16"/>
        <v>0</v>
      </c>
      <c r="F71" s="72">
        <f t="shared" si="16"/>
        <v>0</v>
      </c>
      <c r="G71" s="72">
        <f t="shared" si="16"/>
        <v>0</v>
      </c>
      <c r="H71" s="72">
        <f t="shared" si="16"/>
        <v>0</v>
      </c>
      <c r="I71" s="62"/>
      <c r="J71" s="62"/>
    </row>
    <row r="72" spans="1:10" ht="14.25" thickBot="1">
      <c r="A72" s="450" t="s">
        <v>93</v>
      </c>
      <c r="B72" s="452">
        <f>+Pressupostos!B18</f>
        <v>0.23</v>
      </c>
      <c r="C72" s="34">
        <f aca="true" t="shared" si="17" ref="C72:H72">+C69*$B$72</f>
        <v>0</v>
      </c>
      <c r="D72" s="34">
        <f t="shared" si="17"/>
        <v>0</v>
      </c>
      <c r="E72" s="34">
        <f t="shared" si="17"/>
        <v>0</v>
      </c>
      <c r="F72" s="34">
        <f t="shared" si="17"/>
        <v>0</v>
      </c>
      <c r="G72" s="34">
        <f t="shared" si="17"/>
        <v>0</v>
      </c>
      <c r="H72" s="34">
        <f t="shared" si="17"/>
        <v>0</v>
      </c>
      <c r="I72" s="62"/>
      <c r="J72" s="62"/>
    </row>
    <row r="73" spans="1:10" ht="14.25" thickTop="1">
      <c r="A73" s="57"/>
      <c r="B73" s="68"/>
      <c r="C73" s="58"/>
      <c r="D73" s="58"/>
      <c r="E73" s="58"/>
      <c r="F73" s="58"/>
      <c r="G73" s="58"/>
      <c r="H73" s="58"/>
      <c r="I73" s="62"/>
      <c r="J73" s="62"/>
    </row>
    <row r="74" spans="1:10" s="70" customFormat="1" ht="13.5">
      <c r="A74" s="57"/>
      <c r="B74" s="68"/>
      <c r="C74" s="58"/>
      <c r="D74" s="58"/>
      <c r="E74" s="58"/>
      <c r="F74" s="58"/>
      <c r="G74" s="58"/>
      <c r="H74" s="58"/>
      <c r="I74" s="69"/>
      <c r="J74" s="69"/>
    </row>
    <row r="75" spans="1:10" ht="13.5">
      <c r="A75" s="623" t="s">
        <v>146</v>
      </c>
      <c r="B75" s="623"/>
      <c r="C75" s="67">
        <f aca="true" t="shared" si="18" ref="C75:H75">+C54</f>
        <v>0</v>
      </c>
      <c r="D75" s="67">
        <f t="shared" si="18"/>
        <v>0</v>
      </c>
      <c r="E75" s="67">
        <f t="shared" si="18"/>
        <v>0</v>
      </c>
      <c r="F75" s="67">
        <f t="shared" si="18"/>
        <v>0</v>
      </c>
      <c r="G75" s="67">
        <f t="shared" si="18"/>
        <v>0</v>
      </c>
      <c r="H75" s="67">
        <f t="shared" si="18"/>
        <v>0</v>
      </c>
      <c r="I75" s="62"/>
      <c r="J75" s="62"/>
    </row>
    <row r="76" spans="1:10" ht="13.5">
      <c r="A76" s="623" t="s">
        <v>147</v>
      </c>
      <c r="B76" s="623"/>
      <c r="C76" s="67">
        <f aca="true" t="shared" si="19" ref="C76:H76">+C66</f>
        <v>0</v>
      </c>
      <c r="D76" s="67">
        <f t="shared" si="19"/>
        <v>0</v>
      </c>
      <c r="E76" s="67">
        <f t="shared" si="19"/>
        <v>0</v>
      </c>
      <c r="F76" s="67">
        <f t="shared" si="19"/>
        <v>0</v>
      </c>
      <c r="G76" s="67">
        <f t="shared" si="19"/>
        <v>0</v>
      </c>
      <c r="H76" s="67">
        <f t="shared" si="19"/>
        <v>0</v>
      </c>
      <c r="I76" s="62"/>
      <c r="J76" s="62"/>
    </row>
    <row r="77" spans="1:10" ht="13.5">
      <c r="A77" s="623" t="s">
        <v>115</v>
      </c>
      <c r="B77" s="623"/>
      <c r="C77" s="72">
        <f aca="true" t="shared" si="20" ref="C77:H77">+C75+C76</f>
        <v>0</v>
      </c>
      <c r="D77" s="72">
        <f t="shared" si="20"/>
        <v>0</v>
      </c>
      <c r="E77" s="72">
        <f t="shared" si="20"/>
        <v>0</v>
      </c>
      <c r="F77" s="72">
        <f t="shared" si="20"/>
        <v>0</v>
      </c>
      <c r="G77" s="72">
        <f t="shared" si="20"/>
        <v>0</v>
      </c>
      <c r="H77" s="72">
        <f t="shared" si="20"/>
        <v>0</v>
      </c>
      <c r="I77" s="62"/>
      <c r="J77" s="62"/>
    </row>
    <row r="78" spans="1:10" ht="14.25" thickBot="1">
      <c r="A78" s="450" t="s">
        <v>148</v>
      </c>
      <c r="B78" s="452">
        <f>+Pressupostos!B19</f>
        <v>0.23</v>
      </c>
      <c r="C78" s="34">
        <f aca="true" t="shared" si="21" ref="C78:H78">+C75*$B$78</f>
        <v>0</v>
      </c>
      <c r="D78" s="34">
        <f t="shared" si="21"/>
        <v>0</v>
      </c>
      <c r="E78" s="34">
        <f t="shared" si="21"/>
        <v>0</v>
      </c>
      <c r="F78" s="34">
        <f t="shared" si="21"/>
        <v>0</v>
      </c>
      <c r="G78" s="34">
        <f t="shared" si="21"/>
        <v>0</v>
      </c>
      <c r="H78" s="34">
        <f t="shared" si="21"/>
        <v>0</v>
      </c>
      <c r="I78" s="62"/>
      <c r="J78" s="62"/>
    </row>
    <row r="79" spans="1:10" ht="14.25" thickTop="1">
      <c r="A79" s="64"/>
      <c r="B79" s="65"/>
      <c r="C79" s="61"/>
      <c r="D79" s="61"/>
      <c r="E79" s="61"/>
      <c r="F79" s="61"/>
      <c r="G79" s="61"/>
      <c r="H79" s="61"/>
      <c r="I79" s="62"/>
      <c r="J79" s="62"/>
    </row>
    <row r="80" spans="1:10" ht="14.25" thickBot="1">
      <c r="A80" s="621" t="s">
        <v>46</v>
      </c>
      <c r="B80" s="621"/>
      <c r="C80" s="34">
        <f aca="true" t="shared" si="22" ref="C80:H80">+C71+C77</f>
        <v>0</v>
      </c>
      <c r="D80" s="34">
        <f t="shared" si="22"/>
        <v>0</v>
      </c>
      <c r="E80" s="34">
        <f t="shared" si="22"/>
        <v>0</v>
      </c>
      <c r="F80" s="34">
        <f t="shared" si="22"/>
        <v>0</v>
      </c>
      <c r="G80" s="34">
        <f t="shared" si="22"/>
        <v>0</v>
      </c>
      <c r="H80" s="34">
        <f t="shared" si="22"/>
        <v>0</v>
      </c>
      <c r="I80" s="62"/>
      <c r="J80" s="62"/>
    </row>
    <row r="81" spans="1:10" ht="14.25" thickTop="1">
      <c r="A81" s="64"/>
      <c r="B81" s="60"/>
      <c r="C81" s="61"/>
      <c r="D81" s="61"/>
      <c r="E81" s="61"/>
      <c r="F81" s="61"/>
      <c r="G81" s="61"/>
      <c r="H81" s="61"/>
      <c r="I81" s="62"/>
      <c r="J81" s="62"/>
    </row>
    <row r="82" spans="1:10" ht="14.25" thickBot="1">
      <c r="A82" s="621" t="s">
        <v>43</v>
      </c>
      <c r="B82" s="621"/>
      <c r="C82" s="34">
        <f aca="true" t="shared" si="23" ref="C82:H82">+C72+C78</f>
        <v>0</v>
      </c>
      <c r="D82" s="34">
        <f t="shared" si="23"/>
        <v>0</v>
      </c>
      <c r="E82" s="34">
        <f t="shared" si="23"/>
        <v>0</v>
      </c>
      <c r="F82" s="34">
        <f t="shared" si="23"/>
        <v>0</v>
      </c>
      <c r="G82" s="34">
        <f t="shared" si="23"/>
        <v>0</v>
      </c>
      <c r="H82" s="34">
        <f t="shared" si="23"/>
        <v>0</v>
      </c>
      <c r="I82" s="62"/>
      <c r="J82" s="62"/>
    </row>
    <row r="83" spans="1:10" ht="14.25" thickTop="1">
      <c r="A83" s="54"/>
      <c r="B83" s="54"/>
      <c r="C83" s="54"/>
      <c r="D83" s="54"/>
      <c r="E83" s="54"/>
      <c r="F83" s="54"/>
      <c r="G83" s="54"/>
      <c r="H83" s="54"/>
      <c r="I83" s="62"/>
      <c r="J83" s="62"/>
    </row>
    <row r="84" spans="1:10" ht="14.25" thickBot="1">
      <c r="A84" s="621" t="s">
        <v>50</v>
      </c>
      <c r="B84" s="621"/>
      <c r="C84" s="34">
        <f aca="true" t="shared" si="24" ref="C84:H84">+C80+C82</f>
        <v>0</v>
      </c>
      <c r="D84" s="34">
        <f t="shared" si="24"/>
        <v>0</v>
      </c>
      <c r="E84" s="34">
        <f t="shared" si="24"/>
        <v>0</v>
      </c>
      <c r="F84" s="34">
        <f t="shared" si="24"/>
        <v>0</v>
      </c>
      <c r="G84" s="34">
        <f t="shared" si="24"/>
        <v>0</v>
      </c>
      <c r="H84" s="34">
        <f t="shared" si="24"/>
        <v>0</v>
      </c>
      <c r="I84" s="62"/>
      <c r="J84" s="62"/>
    </row>
    <row r="85" spans="1:10" ht="14.25" thickTop="1">
      <c r="A85" s="54"/>
      <c r="B85" s="54"/>
      <c r="C85" s="54"/>
      <c r="D85" s="54"/>
      <c r="E85" s="54"/>
      <c r="F85" s="54"/>
      <c r="G85" s="54"/>
      <c r="H85" s="54"/>
      <c r="I85" s="62"/>
      <c r="J85" s="62"/>
    </row>
    <row r="86" spans="1:10" ht="13.5">
      <c r="A86" s="54"/>
      <c r="B86" s="54"/>
      <c r="C86" s="54"/>
      <c r="D86" s="54"/>
      <c r="E86" s="54"/>
      <c r="F86" s="54"/>
      <c r="G86" s="54"/>
      <c r="H86" s="54"/>
      <c r="I86" s="62"/>
      <c r="J86" s="62"/>
    </row>
    <row r="87" spans="1:10" ht="14.25" thickBot="1">
      <c r="A87" s="451" t="s">
        <v>330</v>
      </c>
      <c r="B87" s="382">
        <v>0</v>
      </c>
      <c r="C87" s="34">
        <f aca="true" t="shared" si="25" ref="C87:H87">+$B$87*C84</f>
        <v>0</v>
      </c>
      <c r="D87" s="34">
        <f t="shared" si="25"/>
        <v>0</v>
      </c>
      <c r="E87" s="34">
        <f t="shared" si="25"/>
        <v>0</v>
      </c>
      <c r="F87" s="34">
        <f t="shared" si="25"/>
        <v>0</v>
      </c>
      <c r="G87" s="34">
        <f t="shared" si="25"/>
        <v>0</v>
      </c>
      <c r="H87" s="34">
        <f t="shared" si="25"/>
        <v>0</v>
      </c>
      <c r="I87" s="62"/>
      <c r="J87" s="62"/>
    </row>
    <row r="88" spans="1:8" ht="14.25" thickTop="1">
      <c r="A88" s="54"/>
      <c r="B88" s="54"/>
      <c r="C88" s="54"/>
      <c r="D88" s="54"/>
      <c r="E88" s="54"/>
      <c r="F88" s="54"/>
      <c r="G88" s="54"/>
      <c r="H88" s="54"/>
    </row>
    <row r="89" spans="1:8" ht="13.5">
      <c r="A89" s="62"/>
      <c r="B89" s="62"/>
      <c r="C89" s="62"/>
      <c r="D89" s="62"/>
      <c r="E89" s="62"/>
      <c r="F89" s="62"/>
      <c r="G89" s="62"/>
      <c r="H89" s="62"/>
    </row>
    <row r="90" spans="1:8" ht="13.5">
      <c r="A90" s="62"/>
      <c r="B90" s="62"/>
      <c r="C90" s="62"/>
      <c r="D90" s="62"/>
      <c r="E90" s="62"/>
      <c r="F90" s="62"/>
      <c r="G90" s="62"/>
      <c r="H90" s="62"/>
    </row>
    <row r="91" spans="1:8" ht="13.5">
      <c r="A91" s="62"/>
      <c r="B91" s="62"/>
      <c r="C91" s="62"/>
      <c r="D91" s="62"/>
      <c r="E91" s="62"/>
      <c r="F91" s="62"/>
      <c r="G91" s="62"/>
      <c r="H91" s="62"/>
    </row>
    <row r="92" spans="1:8" ht="13.5">
      <c r="A92" s="62"/>
      <c r="B92" s="62"/>
      <c r="C92" s="62"/>
      <c r="D92" s="62"/>
      <c r="E92" s="62"/>
      <c r="F92" s="62"/>
      <c r="G92" s="62"/>
      <c r="H92" s="62"/>
    </row>
    <row r="93" spans="1:8" ht="13.5">
      <c r="A93" s="62"/>
      <c r="B93" s="62"/>
      <c r="C93" s="62"/>
      <c r="D93" s="62"/>
      <c r="E93" s="62"/>
      <c r="F93" s="62"/>
      <c r="G93" s="62"/>
      <c r="H93" s="62"/>
    </row>
    <row r="94" spans="1:8" ht="13.5">
      <c r="A94" s="62"/>
      <c r="B94" s="62"/>
      <c r="C94" s="62"/>
      <c r="D94" s="62"/>
      <c r="E94" s="62"/>
      <c r="F94" s="62"/>
      <c r="G94" s="62"/>
      <c r="H94" s="62"/>
    </row>
    <row r="95" spans="1:8" ht="13.5">
      <c r="A95" s="62"/>
      <c r="B95" s="62"/>
      <c r="C95" s="62"/>
      <c r="D95" s="62"/>
      <c r="E95" s="62"/>
      <c r="F95" s="62"/>
      <c r="G95" s="62"/>
      <c r="H95" s="62"/>
    </row>
    <row r="96" spans="1:8" ht="13.5">
      <c r="A96" s="62"/>
      <c r="B96" s="62"/>
      <c r="C96" s="62"/>
      <c r="D96" s="62"/>
      <c r="E96" s="62"/>
      <c r="F96" s="62"/>
      <c r="G96" s="62"/>
      <c r="H96" s="62"/>
    </row>
    <row r="97" spans="1:8" ht="13.5">
      <c r="A97" s="62"/>
      <c r="B97" s="62"/>
      <c r="C97" s="62"/>
      <c r="D97" s="62"/>
      <c r="E97" s="62"/>
      <c r="F97" s="62"/>
      <c r="G97" s="62"/>
      <c r="H97" s="62"/>
    </row>
    <row r="98" spans="1:8" ht="13.5">
      <c r="A98" s="62"/>
      <c r="B98" s="62"/>
      <c r="C98" s="62"/>
      <c r="D98" s="62"/>
      <c r="E98" s="62"/>
      <c r="F98" s="62"/>
      <c r="G98" s="62"/>
      <c r="H98" s="62"/>
    </row>
    <row r="99" spans="1:8" ht="13.5">
      <c r="A99" s="62"/>
      <c r="B99" s="62"/>
      <c r="C99" s="62"/>
      <c r="D99" s="62"/>
      <c r="E99" s="62"/>
      <c r="F99" s="62"/>
      <c r="G99" s="62"/>
      <c r="H99" s="62"/>
    </row>
    <row r="100" spans="1:8" ht="13.5">
      <c r="A100" s="62"/>
      <c r="B100" s="62"/>
      <c r="C100" s="62"/>
      <c r="D100" s="62"/>
      <c r="E100" s="62"/>
      <c r="F100" s="62"/>
      <c r="G100" s="62"/>
      <c r="H100" s="62"/>
    </row>
    <row r="101" spans="1:8" ht="13.5">
      <c r="A101" s="62"/>
      <c r="B101" s="62"/>
      <c r="C101" s="62"/>
      <c r="D101" s="62"/>
      <c r="E101" s="62"/>
      <c r="F101" s="62"/>
      <c r="G101" s="62"/>
      <c r="H101" s="62"/>
    </row>
    <row r="102" spans="1:8" ht="13.5">
      <c r="A102" s="62"/>
      <c r="B102" s="62"/>
      <c r="C102" s="62"/>
      <c r="D102" s="62"/>
      <c r="E102" s="62"/>
      <c r="F102" s="62"/>
      <c r="G102" s="62"/>
      <c r="H102" s="62"/>
    </row>
    <row r="103" spans="1:8" ht="13.5">
      <c r="A103" s="62"/>
      <c r="B103" s="62"/>
      <c r="C103" s="62"/>
      <c r="D103" s="62"/>
      <c r="E103" s="62"/>
      <c r="F103" s="62"/>
      <c r="G103" s="62"/>
      <c r="H103" s="62"/>
    </row>
    <row r="104" spans="1:8" ht="13.5">
      <c r="A104" s="62"/>
      <c r="B104" s="62"/>
      <c r="C104" s="62"/>
      <c r="D104" s="62"/>
      <c r="E104" s="62"/>
      <c r="F104" s="62"/>
      <c r="G104" s="62"/>
      <c r="H104" s="62"/>
    </row>
    <row r="105" spans="1:8" ht="13.5">
      <c r="A105" s="62"/>
      <c r="B105" s="62"/>
      <c r="C105" s="62"/>
      <c r="D105" s="62"/>
      <c r="E105" s="62"/>
      <c r="F105" s="62"/>
      <c r="G105" s="62"/>
      <c r="H105" s="62"/>
    </row>
    <row r="106" spans="1:8" ht="13.5">
      <c r="A106" s="62"/>
      <c r="B106" s="62"/>
      <c r="C106" s="62"/>
      <c r="D106" s="62"/>
      <c r="E106" s="62"/>
      <c r="F106" s="62"/>
      <c r="G106" s="62"/>
      <c r="H106" s="62"/>
    </row>
    <row r="107" spans="1:8" ht="13.5">
      <c r="A107" s="62"/>
      <c r="B107" s="62"/>
      <c r="C107" s="62"/>
      <c r="D107" s="62"/>
      <c r="E107" s="62"/>
      <c r="F107" s="62"/>
      <c r="G107" s="62"/>
      <c r="H107" s="62"/>
    </row>
    <row r="108" spans="1:8" ht="13.5">
      <c r="A108" s="62"/>
      <c r="B108" s="62"/>
      <c r="C108" s="62"/>
      <c r="D108" s="62"/>
      <c r="E108" s="62"/>
      <c r="F108" s="62"/>
      <c r="G108" s="62"/>
      <c r="H108" s="62"/>
    </row>
    <row r="109" spans="1:8" ht="13.5">
      <c r="A109" s="62"/>
      <c r="B109" s="62"/>
      <c r="C109" s="62"/>
      <c r="D109" s="62"/>
      <c r="E109" s="62"/>
      <c r="F109" s="62"/>
      <c r="G109" s="62"/>
      <c r="H109" s="62"/>
    </row>
    <row r="110" spans="1:8" ht="13.5">
      <c r="A110" s="62"/>
      <c r="B110" s="62"/>
      <c r="C110" s="62"/>
      <c r="D110" s="62"/>
      <c r="E110" s="62"/>
      <c r="F110" s="62"/>
      <c r="G110" s="62"/>
      <c r="H110" s="62"/>
    </row>
    <row r="111" spans="1:8" ht="13.5">
      <c r="A111" s="62"/>
      <c r="B111" s="62"/>
      <c r="C111" s="62"/>
      <c r="D111" s="62"/>
      <c r="E111" s="62"/>
      <c r="F111" s="62"/>
      <c r="G111" s="62"/>
      <c r="H111" s="62"/>
    </row>
    <row r="112" spans="1:8" ht="13.5">
      <c r="A112" s="62"/>
      <c r="B112" s="62"/>
      <c r="C112" s="62"/>
      <c r="D112" s="62"/>
      <c r="E112" s="62"/>
      <c r="F112" s="62"/>
      <c r="G112" s="62"/>
      <c r="H112" s="62"/>
    </row>
    <row r="113" spans="1:8" ht="13.5">
      <c r="A113" s="62"/>
      <c r="B113" s="62"/>
      <c r="C113" s="62"/>
      <c r="D113" s="62"/>
      <c r="E113" s="62"/>
      <c r="F113" s="62"/>
      <c r="G113" s="62"/>
      <c r="H113" s="62"/>
    </row>
    <row r="114" spans="1:8" ht="13.5">
      <c r="A114" s="62"/>
      <c r="B114" s="62"/>
      <c r="C114" s="62"/>
      <c r="D114" s="62"/>
      <c r="E114" s="62"/>
      <c r="F114" s="62"/>
      <c r="G114" s="62"/>
      <c r="H114" s="62"/>
    </row>
    <row r="115" spans="1:8" ht="13.5">
      <c r="A115" s="62"/>
      <c r="B115" s="62"/>
      <c r="C115" s="62"/>
      <c r="D115" s="62"/>
      <c r="E115" s="62"/>
      <c r="F115" s="62"/>
      <c r="G115" s="62"/>
      <c r="H115" s="62"/>
    </row>
    <row r="116" spans="1:8" ht="13.5">
      <c r="A116" s="62"/>
      <c r="B116" s="62"/>
      <c r="C116" s="62"/>
      <c r="D116" s="62"/>
      <c r="E116" s="62"/>
      <c r="F116" s="62"/>
      <c r="G116" s="62"/>
      <c r="H116" s="62"/>
    </row>
    <row r="117" spans="1:8" ht="13.5">
      <c r="A117" s="62"/>
      <c r="B117" s="62"/>
      <c r="C117" s="62"/>
      <c r="D117" s="62"/>
      <c r="E117" s="62"/>
      <c r="F117" s="62"/>
      <c r="G117" s="62"/>
      <c r="H117" s="62"/>
    </row>
    <row r="118" spans="1:8" ht="13.5">
      <c r="A118" s="62"/>
      <c r="B118" s="62"/>
      <c r="C118" s="62"/>
      <c r="D118" s="62"/>
      <c r="E118" s="62"/>
      <c r="F118" s="62"/>
      <c r="G118" s="62"/>
      <c r="H118" s="62"/>
    </row>
    <row r="119" spans="1:8" ht="13.5">
      <c r="A119" s="62"/>
      <c r="B119" s="62"/>
      <c r="C119" s="62"/>
      <c r="D119" s="62"/>
      <c r="E119" s="62"/>
      <c r="F119" s="62"/>
      <c r="G119" s="62"/>
      <c r="H119" s="62"/>
    </row>
    <row r="120" spans="1:8" ht="13.5">
      <c r="A120" s="62"/>
      <c r="B120" s="62"/>
      <c r="C120" s="62"/>
      <c r="D120" s="62"/>
      <c r="E120" s="62"/>
      <c r="F120" s="62"/>
      <c r="G120" s="62"/>
      <c r="H120" s="62"/>
    </row>
    <row r="121" spans="1:8" ht="13.5">
      <c r="A121" s="62"/>
      <c r="B121" s="62"/>
      <c r="C121" s="62"/>
      <c r="D121" s="62"/>
      <c r="E121" s="62"/>
      <c r="F121" s="62"/>
      <c r="G121" s="62"/>
      <c r="H121" s="62"/>
    </row>
    <row r="122" spans="1:8" ht="13.5">
      <c r="A122" s="62"/>
      <c r="B122" s="62"/>
      <c r="C122" s="62"/>
      <c r="D122" s="62"/>
      <c r="E122" s="62"/>
      <c r="F122" s="62"/>
      <c r="G122" s="62"/>
      <c r="H122" s="62"/>
    </row>
    <row r="123" spans="1:8" ht="13.5">
      <c r="A123" s="62"/>
      <c r="B123" s="62"/>
      <c r="C123" s="62"/>
      <c r="D123" s="62"/>
      <c r="E123" s="62"/>
      <c r="F123" s="62"/>
      <c r="G123" s="62"/>
      <c r="H123" s="62"/>
    </row>
    <row r="124" spans="1:8" ht="13.5">
      <c r="A124" s="62"/>
      <c r="B124" s="62"/>
      <c r="C124" s="62"/>
      <c r="D124" s="62"/>
      <c r="E124" s="62"/>
      <c r="F124" s="62"/>
      <c r="G124" s="62"/>
      <c r="H124" s="62"/>
    </row>
    <row r="125" spans="1:8" ht="13.5">
      <c r="A125" s="62"/>
      <c r="B125" s="62"/>
      <c r="C125" s="62"/>
      <c r="D125" s="62"/>
      <c r="E125" s="62"/>
      <c r="F125" s="62"/>
      <c r="G125" s="62"/>
      <c r="H125" s="62"/>
    </row>
    <row r="126" spans="1:8" ht="13.5">
      <c r="A126" s="62"/>
      <c r="B126" s="62"/>
      <c r="C126" s="62"/>
      <c r="D126" s="62"/>
      <c r="E126" s="62"/>
      <c r="F126" s="62"/>
      <c r="G126" s="62"/>
      <c r="H126" s="62"/>
    </row>
    <row r="127" spans="1:8" ht="13.5">
      <c r="A127" s="62"/>
      <c r="B127" s="62"/>
      <c r="C127" s="62"/>
      <c r="D127" s="62"/>
      <c r="E127" s="62"/>
      <c r="F127" s="62"/>
      <c r="G127" s="62"/>
      <c r="H127" s="62"/>
    </row>
    <row r="128" spans="1:8" ht="13.5">
      <c r="A128" s="62"/>
      <c r="B128" s="62"/>
      <c r="C128" s="62"/>
      <c r="D128" s="62"/>
      <c r="E128" s="62"/>
      <c r="F128" s="62"/>
      <c r="G128" s="62"/>
      <c r="H128" s="62"/>
    </row>
    <row r="129" spans="1:8" ht="13.5">
      <c r="A129" s="62"/>
      <c r="B129" s="62"/>
      <c r="C129" s="62"/>
      <c r="D129" s="62"/>
      <c r="E129" s="62"/>
      <c r="F129" s="62"/>
      <c r="G129" s="62"/>
      <c r="H129" s="62"/>
    </row>
    <row r="130" spans="1:8" ht="13.5">
      <c r="A130" s="62"/>
      <c r="B130" s="62"/>
      <c r="C130" s="62"/>
      <c r="D130" s="62"/>
      <c r="E130" s="62"/>
      <c r="F130" s="62"/>
      <c r="G130" s="62"/>
      <c r="H130" s="62"/>
    </row>
    <row r="131" spans="1:8" ht="13.5">
      <c r="A131" s="62"/>
      <c r="B131" s="62"/>
      <c r="C131" s="62"/>
      <c r="D131" s="62"/>
      <c r="E131" s="62"/>
      <c r="F131" s="62"/>
      <c r="G131" s="62"/>
      <c r="H131" s="62"/>
    </row>
    <row r="132" spans="1:8" ht="13.5">
      <c r="A132" s="62"/>
      <c r="B132" s="62"/>
      <c r="C132" s="62"/>
      <c r="D132" s="62"/>
      <c r="E132" s="62"/>
      <c r="F132" s="62"/>
      <c r="G132" s="62"/>
      <c r="H132" s="62"/>
    </row>
    <row r="133" spans="1:8" ht="13.5">
      <c r="A133" s="62"/>
      <c r="B133" s="62"/>
      <c r="C133" s="62"/>
      <c r="D133" s="62"/>
      <c r="E133" s="62"/>
      <c r="F133" s="62"/>
      <c r="G133" s="62"/>
      <c r="H133" s="62"/>
    </row>
    <row r="134" spans="1:8" ht="13.5">
      <c r="A134" s="62"/>
      <c r="B134" s="62"/>
      <c r="C134" s="62"/>
      <c r="D134" s="62"/>
      <c r="E134" s="62"/>
      <c r="F134" s="62"/>
      <c r="G134" s="62"/>
      <c r="H134" s="62"/>
    </row>
    <row r="135" spans="1:8" ht="13.5">
      <c r="A135" s="62"/>
      <c r="B135" s="62"/>
      <c r="C135" s="62"/>
      <c r="D135" s="62"/>
      <c r="E135" s="62"/>
      <c r="F135" s="62"/>
      <c r="G135" s="62"/>
      <c r="H135" s="62"/>
    </row>
    <row r="136" spans="1:8" ht="13.5">
      <c r="A136" s="62"/>
      <c r="B136" s="62"/>
      <c r="C136" s="62"/>
      <c r="D136" s="62"/>
      <c r="E136" s="62"/>
      <c r="F136" s="62"/>
      <c r="G136" s="62"/>
      <c r="H136" s="62"/>
    </row>
    <row r="137" spans="1:8" ht="13.5">
      <c r="A137" s="62"/>
      <c r="B137" s="62"/>
      <c r="C137" s="62"/>
      <c r="D137" s="62"/>
      <c r="E137" s="62"/>
      <c r="F137" s="62"/>
      <c r="G137" s="62"/>
      <c r="H137" s="62"/>
    </row>
    <row r="138" spans="1:8" ht="13.5">
      <c r="A138" s="62"/>
      <c r="B138" s="62"/>
      <c r="C138" s="62"/>
      <c r="D138" s="62"/>
      <c r="E138" s="62"/>
      <c r="F138" s="62"/>
      <c r="G138" s="62"/>
      <c r="H138" s="62"/>
    </row>
    <row r="139" spans="1:8" ht="13.5">
      <c r="A139" s="62"/>
      <c r="B139" s="62"/>
      <c r="C139" s="62"/>
      <c r="D139" s="62"/>
      <c r="E139" s="62"/>
      <c r="F139" s="62"/>
      <c r="G139" s="62"/>
      <c r="H139" s="62"/>
    </row>
    <row r="140" spans="1:8" ht="13.5">
      <c r="A140" s="62"/>
      <c r="B140" s="62"/>
      <c r="C140" s="62"/>
      <c r="D140" s="62"/>
      <c r="E140" s="62"/>
      <c r="F140" s="62"/>
      <c r="G140" s="62"/>
      <c r="H140" s="62"/>
    </row>
    <row r="141" spans="1:8" ht="13.5">
      <c r="A141" s="62"/>
      <c r="B141" s="62"/>
      <c r="C141" s="62"/>
      <c r="D141" s="62"/>
      <c r="E141" s="62"/>
      <c r="F141" s="62"/>
      <c r="G141" s="62"/>
      <c r="H141" s="62"/>
    </row>
    <row r="142" spans="1:8" ht="13.5">
      <c r="A142" s="62"/>
      <c r="B142" s="62"/>
      <c r="C142" s="62"/>
      <c r="D142" s="62"/>
      <c r="E142" s="62"/>
      <c r="F142" s="62"/>
      <c r="G142" s="62"/>
      <c r="H142" s="62"/>
    </row>
    <row r="143" spans="1:8" ht="13.5">
      <c r="A143" s="62"/>
      <c r="B143" s="62"/>
      <c r="C143" s="62"/>
      <c r="D143" s="62"/>
      <c r="E143" s="62"/>
      <c r="F143" s="62"/>
      <c r="G143" s="62"/>
      <c r="H143" s="62"/>
    </row>
    <row r="144" spans="1:8" ht="13.5">
      <c r="A144" s="62"/>
      <c r="B144" s="62"/>
      <c r="C144" s="62"/>
      <c r="D144" s="62"/>
      <c r="E144" s="62"/>
      <c r="F144" s="62"/>
      <c r="G144" s="62"/>
      <c r="H144" s="62"/>
    </row>
    <row r="145" spans="1:8" ht="13.5">
      <c r="A145" s="62"/>
      <c r="B145" s="62"/>
      <c r="C145" s="62"/>
      <c r="D145" s="62"/>
      <c r="E145" s="62"/>
      <c r="F145" s="62"/>
      <c r="G145" s="62"/>
      <c r="H145" s="62"/>
    </row>
    <row r="146" spans="1:8" ht="13.5">
      <c r="A146" s="62"/>
      <c r="B146" s="62"/>
      <c r="C146" s="62"/>
      <c r="D146" s="62"/>
      <c r="E146" s="62"/>
      <c r="F146" s="62"/>
      <c r="G146" s="62"/>
      <c r="H146" s="62"/>
    </row>
    <row r="147" spans="1:8" ht="13.5">
      <c r="A147" s="62"/>
      <c r="B147" s="62"/>
      <c r="C147" s="62"/>
      <c r="D147" s="62"/>
      <c r="E147" s="62"/>
      <c r="F147" s="62"/>
      <c r="G147" s="62"/>
      <c r="H147" s="62"/>
    </row>
    <row r="148" spans="1:8" ht="13.5">
      <c r="A148" s="62"/>
      <c r="B148" s="62"/>
      <c r="C148" s="62"/>
      <c r="D148" s="62"/>
      <c r="E148" s="62"/>
      <c r="F148" s="62"/>
      <c r="G148" s="62"/>
      <c r="H148" s="62"/>
    </row>
    <row r="149" spans="1:8" ht="13.5">
      <c r="A149" s="62"/>
      <c r="B149" s="62"/>
      <c r="C149" s="62"/>
      <c r="D149" s="62"/>
      <c r="E149" s="62"/>
      <c r="F149" s="62"/>
      <c r="G149" s="62"/>
      <c r="H149" s="62"/>
    </row>
    <row r="150" spans="1:8" ht="13.5">
      <c r="A150" s="62"/>
      <c r="B150" s="62"/>
      <c r="C150" s="62"/>
      <c r="D150" s="62"/>
      <c r="E150" s="62"/>
      <c r="F150" s="62"/>
      <c r="G150" s="62"/>
      <c r="H150" s="62"/>
    </row>
    <row r="151" spans="1:8" ht="13.5">
      <c r="A151" s="62"/>
      <c r="B151" s="62"/>
      <c r="C151" s="62"/>
      <c r="D151" s="62"/>
      <c r="E151" s="62"/>
      <c r="F151" s="62"/>
      <c r="G151" s="62"/>
      <c r="H151" s="62"/>
    </row>
    <row r="152" spans="1:8" ht="13.5">
      <c r="A152" s="62"/>
      <c r="B152" s="62"/>
      <c r="C152" s="62"/>
      <c r="D152" s="62"/>
      <c r="E152" s="62"/>
      <c r="F152" s="62"/>
      <c r="G152" s="62"/>
      <c r="H152" s="62"/>
    </row>
    <row r="153" spans="1:8" ht="13.5">
      <c r="A153" s="62"/>
      <c r="B153" s="62"/>
      <c r="C153" s="62"/>
      <c r="D153" s="62"/>
      <c r="E153" s="62"/>
      <c r="F153" s="62"/>
      <c r="G153" s="62"/>
      <c r="H153" s="62"/>
    </row>
    <row r="154" spans="1:8" ht="13.5">
      <c r="A154" s="62"/>
      <c r="B154" s="62"/>
      <c r="C154" s="62"/>
      <c r="D154" s="62"/>
      <c r="E154" s="62"/>
      <c r="F154" s="62"/>
      <c r="G154" s="62"/>
      <c r="H154" s="62"/>
    </row>
    <row r="155" spans="1:8" ht="13.5">
      <c r="A155" s="62"/>
      <c r="B155" s="62"/>
      <c r="C155" s="62"/>
      <c r="D155" s="62"/>
      <c r="E155" s="62"/>
      <c r="F155" s="62"/>
      <c r="G155" s="62"/>
      <c r="H155" s="62"/>
    </row>
    <row r="156" spans="1:8" ht="13.5">
      <c r="A156" s="62"/>
      <c r="B156" s="62"/>
      <c r="C156" s="62"/>
      <c r="D156" s="62"/>
      <c r="E156" s="62"/>
      <c r="F156" s="62"/>
      <c r="G156" s="62"/>
      <c r="H156" s="62"/>
    </row>
    <row r="157" spans="1:8" ht="13.5">
      <c r="A157" s="62"/>
      <c r="B157" s="62"/>
      <c r="C157" s="62"/>
      <c r="D157" s="62"/>
      <c r="E157" s="62"/>
      <c r="F157" s="62"/>
      <c r="G157" s="62"/>
      <c r="H157" s="62"/>
    </row>
    <row r="158" spans="1:8" ht="13.5">
      <c r="A158" s="62"/>
      <c r="B158" s="62"/>
      <c r="C158" s="62"/>
      <c r="D158" s="62"/>
      <c r="E158" s="62"/>
      <c r="F158" s="62"/>
      <c r="G158" s="62"/>
      <c r="H158" s="62"/>
    </row>
    <row r="159" spans="1:8" ht="13.5">
      <c r="A159" s="62"/>
      <c r="B159" s="62"/>
      <c r="C159" s="62"/>
      <c r="D159" s="62"/>
      <c r="E159" s="62"/>
      <c r="F159" s="62"/>
      <c r="G159" s="62"/>
      <c r="H159" s="62"/>
    </row>
    <row r="160" spans="1:8" ht="13.5">
      <c r="A160" s="62"/>
      <c r="B160" s="62"/>
      <c r="C160" s="62"/>
      <c r="D160" s="62"/>
      <c r="E160" s="62"/>
      <c r="F160" s="62"/>
      <c r="G160" s="62"/>
      <c r="H160" s="62"/>
    </row>
    <row r="161" spans="1:8" ht="13.5">
      <c r="A161" s="62"/>
      <c r="B161" s="62"/>
      <c r="C161" s="62"/>
      <c r="D161" s="62"/>
      <c r="E161" s="62"/>
      <c r="F161" s="62"/>
      <c r="G161" s="62"/>
      <c r="H161" s="62"/>
    </row>
    <row r="162" spans="1:8" ht="13.5">
      <c r="A162" s="62"/>
      <c r="B162" s="62"/>
      <c r="C162" s="62"/>
      <c r="D162" s="62"/>
      <c r="E162" s="62"/>
      <c r="F162" s="62"/>
      <c r="G162" s="62"/>
      <c r="H162" s="62"/>
    </row>
    <row r="163" spans="1:8" ht="13.5">
      <c r="A163" s="62"/>
      <c r="B163" s="62"/>
      <c r="C163" s="62"/>
      <c r="D163" s="62"/>
      <c r="E163" s="62"/>
      <c r="F163" s="62"/>
      <c r="G163" s="62"/>
      <c r="H163" s="62"/>
    </row>
    <row r="164" spans="1:8" ht="13.5">
      <c r="A164" s="62"/>
      <c r="B164" s="62"/>
      <c r="C164" s="62"/>
      <c r="D164" s="62"/>
      <c r="E164" s="62"/>
      <c r="F164" s="62"/>
      <c r="G164" s="62"/>
      <c r="H164" s="62"/>
    </row>
    <row r="165" spans="1:8" ht="13.5">
      <c r="A165" s="62"/>
      <c r="B165" s="62"/>
      <c r="C165" s="62"/>
      <c r="D165" s="62"/>
      <c r="E165" s="62"/>
      <c r="F165" s="62"/>
      <c r="G165" s="62"/>
      <c r="H165" s="62"/>
    </row>
    <row r="166" spans="1:8" ht="13.5">
      <c r="A166" s="62"/>
      <c r="B166" s="62"/>
      <c r="C166" s="62"/>
      <c r="D166" s="62"/>
      <c r="E166" s="62"/>
      <c r="F166" s="62"/>
      <c r="G166" s="62"/>
      <c r="H166" s="62"/>
    </row>
    <row r="167" spans="1:8" ht="13.5">
      <c r="A167" s="62"/>
      <c r="B167" s="62"/>
      <c r="C167" s="62"/>
      <c r="D167" s="62"/>
      <c r="E167" s="62"/>
      <c r="F167" s="62"/>
      <c r="G167" s="62"/>
      <c r="H167" s="62"/>
    </row>
    <row r="168" spans="1:8" ht="13.5">
      <c r="A168" s="62"/>
      <c r="B168" s="62"/>
      <c r="C168" s="62"/>
      <c r="D168" s="62"/>
      <c r="E168" s="62"/>
      <c r="F168" s="62"/>
      <c r="G168" s="62"/>
      <c r="H168" s="62"/>
    </row>
    <row r="169" spans="1:8" ht="13.5">
      <c r="A169" s="62"/>
      <c r="B169" s="62"/>
      <c r="C169" s="62"/>
      <c r="D169" s="62"/>
      <c r="E169" s="62"/>
      <c r="F169" s="62"/>
      <c r="G169" s="62"/>
      <c r="H169" s="62"/>
    </row>
    <row r="170" spans="1:8" ht="13.5">
      <c r="A170" s="62"/>
      <c r="B170" s="62"/>
      <c r="C170" s="62"/>
      <c r="D170" s="62"/>
      <c r="E170" s="62"/>
      <c r="F170" s="62"/>
      <c r="G170" s="62"/>
      <c r="H170" s="62"/>
    </row>
    <row r="171" spans="1:8" ht="13.5">
      <c r="A171" s="62"/>
      <c r="B171" s="62"/>
      <c r="C171" s="62"/>
      <c r="D171" s="62"/>
      <c r="E171" s="62"/>
      <c r="F171" s="62"/>
      <c r="G171" s="62"/>
      <c r="H171" s="62"/>
    </row>
    <row r="172" spans="1:8" ht="13.5">
      <c r="A172" s="62"/>
      <c r="B172" s="62"/>
      <c r="C172" s="62"/>
      <c r="D172" s="62"/>
      <c r="E172" s="62"/>
      <c r="F172" s="62"/>
      <c r="G172" s="62"/>
      <c r="H172" s="62"/>
    </row>
    <row r="173" spans="1:8" ht="13.5">
      <c r="A173" s="62"/>
      <c r="B173" s="62"/>
      <c r="C173" s="62"/>
      <c r="D173" s="62"/>
      <c r="E173" s="62"/>
      <c r="F173" s="62"/>
      <c r="G173" s="62"/>
      <c r="H173" s="62"/>
    </row>
    <row r="174" spans="1:8" ht="13.5">
      <c r="A174" s="62"/>
      <c r="B174" s="62"/>
      <c r="C174" s="62"/>
      <c r="D174" s="62"/>
      <c r="E174" s="62"/>
      <c r="F174" s="62"/>
      <c r="G174" s="62"/>
      <c r="H174" s="62"/>
    </row>
    <row r="175" spans="1:8" ht="13.5">
      <c r="A175" s="62"/>
      <c r="B175" s="62"/>
      <c r="C175" s="62"/>
      <c r="D175" s="62"/>
      <c r="E175" s="62"/>
      <c r="F175" s="62"/>
      <c r="G175" s="62"/>
      <c r="H175" s="62"/>
    </row>
    <row r="176" spans="1:8" ht="13.5">
      <c r="A176" s="62"/>
      <c r="B176" s="62"/>
      <c r="C176" s="62"/>
      <c r="D176" s="62"/>
      <c r="E176" s="62"/>
      <c r="F176" s="62"/>
      <c r="G176" s="62"/>
      <c r="H176" s="62"/>
    </row>
    <row r="177" spans="1:8" ht="13.5">
      <c r="A177" s="62"/>
      <c r="B177" s="62"/>
      <c r="C177" s="62"/>
      <c r="D177" s="62"/>
      <c r="E177" s="62"/>
      <c r="F177" s="62"/>
      <c r="G177" s="62"/>
      <c r="H177" s="62"/>
    </row>
    <row r="178" spans="1:8" ht="13.5">
      <c r="A178" s="62"/>
      <c r="B178" s="62"/>
      <c r="C178" s="62"/>
      <c r="D178" s="62"/>
      <c r="E178" s="62"/>
      <c r="F178" s="62"/>
      <c r="G178" s="62"/>
      <c r="H178" s="62"/>
    </row>
    <row r="179" spans="1:8" ht="13.5">
      <c r="A179" s="62"/>
      <c r="B179" s="62"/>
      <c r="C179" s="62"/>
      <c r="D179" s="62"/>
      <c r="E179" s="62"/>
      <c r="F179" s="62"/>
      <c r="G179" s="62"/>
      <c r="H179" s="62"/>
    </row>
    <row r="180" spans="1:8" ht="13.5">
      <c r="A180" s="62"/>
      <c r="B180" s="62"/>
      <c r="C180" s="62"/>
      <c r="D180" s="62"/>
      <c r="E180" s="62"/>
      <c r="F180" s="62"/>
      <c r="G180" s="62"/>
      <c r="H180" s="62"/>
    </row>
    <row r="181" spans="1:8" ht="13.5">
      <c r="A181" s="62"/>
      <c r="B181" s="62"/>
      <c r="C181" s="62"/>
      <c r="D181" s="62"/>
      <c r="E181" s="62"/>
      <c r="F181" s="62"/>
      <c r="G181" s="62"/>
      <c r="H181" s="62"/>
    </row>
    <row r="182" spans="1:8" ht="13.5">
      <c r="A182" s="62"/>
      <c r="B182" s="62"/>
      <c r="C182" s="62"/>
      <c r="D182" s="62"/>
      <c r="E182" s="62"/>
      <c r="F182" s="62"/>
      <c r="G182" s="62"/>
      <c r="H182" s="62"/>
    </row>
    <row r="183" spans="1:8" ht="13.5">
      <c r="A183" s="62"/>
      <c r="B183" s="62"/>
      <c r="C183" s="62"/>
      <c r="D183" s="62"/>
      <c r="E183" s="62"/>
      <c r="F183" s="62"/>
      <c r="G183" s="62"/>
      <c r="H183" s="62"/>
    </row>
    <row r="184" spans="1:8" ht="13.5">
      <c r="A184" s="62"/>
      <c r="B184" s="62"/>
      <c r="C184" s="62"/>
      <c r="D184" s="62"/>
      <c r="E184" s="62"/>
      <c r="F184" s="62"/>
      <c r="G184" s="62"/>
      <c r="H184" s="62"/>
    </row>
    <row r="185" spans="1:8" ht="13.5">
      <c r="A185" s="62"/>
      <c r="B185" s="62"/>
      <c r="C185" s="62"/>
      <c r="D185" s="62"/>
      <c r="E185" s="62"/>
      <c r="F185" s="62"/>
      <c r="G185" s="62"/>
      <c r="H185" s="62"/>
    </row>
    <row r="186" spans="1:8" ht="13.5">
      <c r="A186" s="62"/>
      <c r="B186" s="62"/>
      <c r="C186" s="62"/>
      <c r="D186" s="62"/>
      <c r="E186" s="62"/>
      <c r="F186" s="62"/>
      <c r="G186" s="62"/>
      <c r="H186" s="62"/>
    </row>
    <row r="187" spans="1:8" ht="13.5">
      <c r="A187" s="62"/>
      <c r="B187" s="62"/>
      <c r="C187" s="62"/>
      <c r="D187" s="62"/>
      <c r="E187" s="62"/>
      <c r="F187" s="62"/>
      <c r="G187" s="62"/>
      <c r="H187" s="62"/>
    </row>
    <row r="188" spans="1:8" ht="13.5">
      <c r="A188" s="62"/>
      <c r="B188" s="62"/>
      <c r="C188" s="62"/>
      <c r="D188" s="62"/>
      <c r="E188" s="62"/>
      <c r="F188" s="62"/>
      <c r="G188" s="62"/>
      <c r="H188" s="62"/>
    </row>
    <row r="189" spans="1:8" ht="13.5">
      <c r="A189" s="62"/>
      <c r="B189" s="62"/>
      <c r="C189" s="62"/>
      <c r="D189" s="62"/>
      <c r="E189" s="62"/>
      <c r="F189" s="62"/>
      <c r="G189" s="62"/>
      <c r="H189" s="62"/>
    </row>
    <row r="190" spans="1:8" ht="13.5">
      <c r="A190" s="62"/>
      <c r="B190" s="62"/>
      <c r="C190" s="62"/>
      <c r="D190" s="62"/>
      <c r="E190" s="62"/>
      <c r="F190" s="62"/>
      <c r="G190" s="62"/>
      <c r="H190" s="62"/>
    </row>
    <row r="191" spans="1:8" ht="13.5">
      <c r="A191" s="62"/>
      <c r="B191" s="62"/>
      <c r="C191" s="62"/>
      <c r="D191" s="62"/>
      <c r="E191" s="62"/>
      <c r="F191" s="62"/>
      <c r="G191" s="62"/>
      <c r="H191" s="62"/>
    </row>
    <row r="192" spans="1:8" ht="13.5">
      <c r="A192" s="62"/>
      <c r="B192" s="62"/>
      <c r="C192" s="62"/>
      <c r="D192" s="62"/>
      <c r="E192" s="62"/>
      <c r="F192" s="62"/>
      <c r="G192" s="62"/>
      <c r="H192" s="62"/>
    </row>
    <row r="193" spans="1:8" ht="13.5">
      <c r="A193" s="62"/>
      <c r="B193" s="62"/>
      <c r="C193" s="62"/>
      <c r="D193" s="62"/>
      <c r="E193" s="62"/>
      <c r="F193" s="62"/>
      <c r="G193" s="62"/>
      <c r="H193" s="62"/>
    </row>
    <row r="194" spans="1:8" ht="13.5">
      <c r="A194" s="62"/>
      <c r="B194" s="62"/>
      <c r="C194" s="62"/>
      <c r="D194" s="62"/>
      <c r="E194" s="62"/>
      <c r="F194" s="62"/>
      <c r="G194" s="62"/>
      <c r="H194" s="62"/>
    </row>
    <row r="195" spans="1:8" ht="13.5">
      <c r="A195" s="62"/>
      <c r="B195" s="62"/>
      <c r="C195" s="62"/>
      <c r="D195" s="62"/>
      <c r="E195" s="62"/>
      <c r="F195" s="62"/>
      <c r="G195" s="62"/>
      <c r="H195" s="62"/>
    </row>
    <row r="196" spans="1:8" ht="13.5">
      <c r="A196" s="62"/>
      <c r="B196" s="62"/>
      <c r="C196" s="62"/>
      <c r="D196" s="62"/>
      <c r="E196" s="62"/>
      <c r="F196" s="62"/>
      <c r="G196" s="62"/>
      <c r="H196" s="62"/>
    </row>
    <row r="197" spans="1:8" ht="13.5">
      <c r="A197" s="62"/>
      <c r="B197" s="62"/>
      <c r="C197" s="62"/>
      <c r="D197" s="62"/>
      <c r="E197" s="62"/>
      <c r="F197" s="62"/>
      <c r="G197" s="62"/>
      <c r="H197" s="62"/>
    </row>
    <row r="198" spans="1:8" ht="13.5">
      <c r="A198" s="62"/>
      <c r="B198" s="62"/>
      <c r="C198" s="62"/>
      <c r="D198" s="62"/>
      <c r="E198" s="62"/>
      <c r="F198" s="62"/>
      <c r="G198" s="62"/>
      <c r="H198" s="62"/>
    </row>
    <row r="199" spans="1:8" ht="13.5">
      <c r="A199" s="62"/>
      <c r="B199" s="62"/>
      <c r="C199" s="62"/>
      <c r="D199" s="62"/>
      <c r="E199" s="62"/>
      <c r="F199" s="62"/>
      <c r="G199" s="62"/>
      <c r="H199" s="62"/>
    </row>
    <row r="200" spans="1:8" ht="13.5">
      <c r="A200" s="62"/>
      <c r="B200" s="62"/>
      <c r="C200" s="62"/>
      <c r="D200" s="62"/>
      <c r="E200" s="62"/>
      <c r="F200" s="62"/>
      <c r="G200" s="62"/>
      <c r="H200" s="62"/>
    </row>
    <row r="201" spans="1:8" ht="13.5">
      <c r="A201" s="62"/>
      <c r="B201" s="62"/>
      <c r="C201" s="62"/>
      <c r="D201" s="62"/>
      <c r="E201" s="62"/>
      <c r="F201" s="62"/>
      <c r="G201" s="62"/>
      <c r="H201" s="62"/>
    </row>
    <row r="202" spans="1:8" ht="13.5">
      <c r="A202" s="62"/>
      <c r="B202" s="62"/>
      <c r="C202" s="62"/>
      <c r="D202" s="62"/>
      <c r="E202" s="62"/>
      <c r="F202" s="62"/>
      <c r="G202" s="62"/>
      <c r="H202" s="62"/>
    </row>
    <row r="203" spans="1:8" ht="13.5">
      <c r="A203" s="62"/>
      <c r="B203" s="62"/>
      <c r="C203" s="62"/>
      <c r="D203" s="62"/>
      <c r="E203" s="62"/>
      <c r="F203" s="62"/>
      <c r="G203" s="62"/>
      <c r="H203" s="62"/>
    </row>
  </sheetData>
  <sheetProtection password="8318" sheet="1"/>
  <mergeCells count="33">
    <mergeCell ref="A32:B32"/>
    <mergeCell ref="A41:B41"/>
    <mergeCell ref="A54:B54"/>
    <mergeCell ref="A33:B33"/>
    <mergeCell ref="A37:B37"/>
    <mergeCell ref="A52:B52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4:H4"/>
    <mergeCell ref="A29:B29"/>
    <mergeCell ref="A12:B12"/>
    <mergeCell ref="A8:B8"/>
    <mergeCell ref="A13:B13"/>
    <mergeCell ref="A17:B17"/>
    <mergeCell ref="A21:B21"/>
    <mergeCell ref="A25:B25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D26 E26:H28 D28 E8:H8 E19:H20 E22:H24 D22 D24 B72 B78 D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PageLayoutView="0" workbookViewId="0" topLeftCell="A1">
      <selection activeCell="D13" sqref="D13"/>
    </sheetView>
  </sheetViews>
  <sheetFormatPr defaultColWidth="8.7109375" defaultRowHeight="12.75"/>
  <cols>
    <col min="1" max="1" width="40.57421875" style="47" customWidth="1"/>
    <col min="2" max="2" width="7.8515625" style="47" customWidth="1"/>
    <col min="3" max="14" width="11.421875" style="47" customWidth="1"/>
    <col min="15" max="16384" width="8.7109375" style="47" customWidth="1"/>
  </cols>
  <sheetData>
    <row r="1" spans="1:8" ht="13.5">
      <c r="A1" s="45"/>
      <c r="B1" s="45"/>
      <c r="C1" s="46"/>
      <c r="D1" s="46"/>
      <c r="E1" s="46"/>
      <c r="F1" s="46"/>
      <c r="G1" s="445" t="s">
        <v>13</v>
      </c>
      <c r="H1" s="446" t="str">
        <f>+Pressupostos!E1</f>
        <v>XFCP Lda</v>
      </c>
    </row>
    <row r="2" spans="1:9" ht="13.5">
      <c r="A2" s="48"/>
      <c r="B2" s="46"/>
      <c r="C2" s="46"/>
      <c r="D2" s="46"/>
      <c r="E2" s="46"/>
      <c r="F2" s="46"/>
      <c r="G2" s="46"/>
      <c r="H2" s="49" t="str">
        <f>+Pressupostos!B9</f>
        <v>Euros</v>
      </c>
      <c r="I2" s="62"/>
    </row>
    <row r="3" spans="1:9" ht="13.5">
      <c r="A3" s="48"/>
      <c r="B3" s="46"/>
      <c r="C3" s="46"/>
      <c r="D3" s="46"/>
      <c r="E3" s="46"/>
      <c r="F3" s="46"/>
      <c r="G3" s="46"/>
      <c r="H3" s="49"/>
      <c r="I3" s="62"/>
    </row>
    <row r="4" spans="1:9" ht="15.75">
      <c r="A4" s="613" t="s">
        <v>52</v>
      </c>
      <c r="B4" s="613"/>
      <c r="C4" s="613"/>
      <c r="D4" s="613"/>
      <c r="E4" s="613"/>
      <c r="F4" s="613"/>
      <c r="G4" s="613"/>
      <c r="H4" s="613"/>
      <c r="I4" s="62"/>
    </row>
    <row r="5" spans="1:9" ht="13.5">
      <c r="A5" s="50"/>
      <c r="B5" s="50"/>
      <c r="C5" s="50"/>
      <c r="D5" s="50"/>
      <c r="E5" s="50"/>
      <c r="F5" s="50"/>
      <c r="G5" s="50"/>
      <c r="H5" s="50"/>
      <c r="I5" s="62"/>
    </row>
    <row r="6" spans="1:9" ht="13.5">
      <c r="A6" s="54"/>
      <c r="B6" s="54"/>
      <c r="C6" s="54"/>
      <c r="D6" s="54"/>
      <c r="E6" s="54"/>
      <c r="F6" s="54"/>
      <c r="G6" s="54"/>
      <c r="H6" s="54"/>
      <c r="I6" s="62"/>
    </row>
    <row r="7" spans="1:9" ht="25.5">
      <c r="A7" s="453" t="s">
        <v>15</v>
      </c>
      <c r="B7" s="73" t="s">
        <v>491</v>
      </c>
      <c r="C7" s="74">
        <f>+VN!C8</f>
        <v>2019</v>
      </c>
      <c r="D7" s="74">
        <f>+VN!D8</f>
        <v>2020</v>
      </c>
      <c r="E7" s="74">
        <f>+VN!E8</f>
        <v>2021</v>
      </c>
      <c r="F7" s="74">
        <f>+VN!F8</f>
        <v>2022</v>
      </c>
      <c r="G7" s="74">
        <f>+VN!G8</f>
        <v>2023</v>
      </c>
      <c r="H7" s="74">
        <f>+VN!H8</f>
        <v>2024</v>
      </c>
      <c r="I7" s="62"/>
    </row>
    <row r="8" spans="1:9" ht="13.5">
      <c r="A8" s="453" t="s">
        <v>124</v>
      </c>
      <c r="B8" s="346"/>
      <c r="C8" s="347">
        <f aca="true" t="shared" si="0" ref="C8:H8">+SUM(C9:C12)</f>
        <v>0</v>
      </c>
      <c r="D8" s="347">
        <f t="shared" si="0"/>
        <v>0</v>
      </c>
      <c r="E8" s="347">
        <f t="shared" si="0"/>
        <v>0</v>
      </c>
      <c r="F8" s="347">
        <f t="shared" si="0"/>
        <v>0</v>
      </c>
      <c r="G8" s="347">
        <f t="shared" si="0"/>
        <v>0</v>
      </c>
      <c r="H8" s="347">
        <f t="shared" si="0"/>
        <v>0</v>
      </c>
      <c r="I8" s="62"/>
    </row>
    <row r="9" spans="1:9" ht="13.5">
      <c r="A9" s="456" t="str">
        <f>+VN!A13</f>
        <v>Produto A</v>
      </c>
      <c r="B9" s="455"/>
      <c r="C9" s="348">
        <f>VN!C13*(1-CMVMC!$B$9)</f>
        <v>0</v>
      </c>
      <c r="D9" s="348">
        <f>VN!D13*(1-CMVMC!$B$9)</f>
        <v>0</v>
      </c>
      <c r="E9" s="348">
        <f>VN!E13*(1-CMVMC!$B$9)</f>
        <v>0</v>
      </c>
      <c r="F9" s="348">
        <f>VN!F13*(1-CMVMC!$B$9)</f>
        <v>0</v>
      </c>
      <c r="G9" s="348">
        <f>VN!G13*(1-CMVMC!$B$9)</f>
        <v>0</v>
      </c>
      <c r="H9" s="348">
        <f>VN!H13*(1-CMVMC!$B$9)</f>
        <v>0</v>
      </c>
      <c r="I9" s="62"/>
    </row>
    <row r="10" spans="1:9" ht="13.5">
      <c r="A10" s="456" t="str">
        <f>+VN!A17</f>
        <v>Produto B</v>
      </c>
      <c r="B10" s="455"/>
      <c r="C10" s="348">
        <f>VN!C17*(1-CMVMC!$B$10)</f>
        <v>0</v>
      </c>
      <c r="D10" s="348">
        <f>VN!D17*(1-CMVMC!$B$10)</f>
        <v>0</v>
      </c>
      <c r="E10" s="348">
        <f>VN!E17*(1-CMVMC!$B$10)</f>
        <v>0</v>
      </c>
      <c r="F10" s="348">
        <f>VN!F17*(1-CMVMC!$B$10)</f>
        <v>0</v>
      </c>
      <c r="G10" s="348">
        <f>VN!G17*(1-CMVMC!$B$10)</f>
        <v>0</v>
      </c>
      <c r="H10" s="348">
        <f>VN!H17*(1-CMVMC!$B$10)</f>
        <v>0</v>
      </c>
      <c r="I10" s="62"/>
    </row>
    <row r="11" spans="1:9" ht="13.5">
      <c r="A11" s="456" t="str">
        <f>+VN!A21</f>
        <v>Produto C *</v>
      </c>
      <c r="B11" s="31"/>
      <c r="C11" s="348">
        <f>VN!C21*(1-CMVMC!$B$11)</f>
        <v>0</v>
      </c>
      <c r="D11" s="348">
        <f>VN!D21*(1-CMVMC!$B$11)</f>
        <v>0</v>
      </c>
      <c r="E11" s="348">
        <f>VN!E21*(1-CMVMC!$B$11)</f>
        <v>0</v>
      </c>
      <c r="F11" s="348">
        <f>VN!F21*(1-CMVMC!$B$11)</f>
        <v>0</v>
      </c>
      <c r="G11" s="348">
        <f>VN!G21*(1-CMVMC!$B$11)</f>
        <v>0</v>
      </c>
      <c r="H11" s="348">
        <f>VN!H21*(1-CMVMC!$B$11)</f>
        <v>0</v>
      </c>
      <c r="I11" s="62"/>
    </row>
    <row r="12" spans="1:9" ht="13.5">
      <c r="A12" s="456" t="str">
        <f>+VN!A25</f>
        <v>Produto D *</v>
      </c>
      <c r="B12" s="31"/>
      <c r="C12" s="348">
        <f>VN!C25*(1-CMVMC!$B$12)</f>
        <v>0</v>
      </c>
      <c r="D12" s="348">
        <f>VN!D25*(1-CMVMC!$B$12)</f>
        <v>0</v>
      </c>
      <c r="E12" s="348">
        <f>VN!E25*(1-CMVMC!$B$12)</f>
        <v>0</v>
      </c>
      <c r="F12" s="348">
        <f>VN!F25*(1-CMVMC!$B$12)</f>
        <v>0</v>
      </c>
      <c r="G12" s="348">
        <f>VN!G25*(1-CMVMC!$B$12)</f>
        <v>0</v>
      </c>
      <c r="H12" s="348">
        <f>VN!H25*(1-CMVMC!$B$12)</f>
        <v>0</v>
      </c>
      <c r="I12" s="62"/>
    </row>
    <row r="13" spans="1:9" ht="13.5">
      <c r="A13" s="453" t="s">
        <v>125</v>
      </c>
      <c r="B13" s="75"/>
      <c r="C13" s="100">
        <f aca="true" t="shared" si="1" ref="C13:H13">+C15+C14</f>
        <v>0</v>
      </c>
      <c r="D13" s="100">
        <f t="shared" si="1"/>
        <v>0</v>
      </c>
      <c r="E13" s="100">
        <f t="shared" si="1"/>
        <v>0</v>
      </c>
      <c r="F13" s="100">
        <f t="shared" si="1"/>
        <v>0</v>
      </c>
      <c r="G13" s="100">
        <f t="shared" si="1"/>
        <v>0</v>
      </c>
      <c r="H13" s="100">
        <f t="shared" si="1"/>
        <v>0</v>
      </c>
      <c r="I13" s="62"/>
    </row>
    <row r="14" spans="1:9" ht="13.5">
      <c r="A14" s="456" t="str">
        <f>+VN!A33</f>
        <v>Produto A</v>
      </c>
      <c r="B14" s="31"/>
      <c r="C14" s="348">
        <f>VN!C33*(1-CMVMC!$B$14)</f>
        <v>0</v>
      </c>
      <c r="D14" s="348">
        <f>VN!D33*(1-CMVMC!$B$14)</f>
        <v>0</v>
      </c>
      <c r="E14" s="348">
        <f>VN!E33*(1-CMVMC!$B$14)</f>
        <v>0</v>
      </c>
      <c r="F14" s="348">
        <f>VN!F33*(1-CMVMC!$B$14)</f>
        <v>0</v>
      </c>
      <c r="G14" s="348">
        <f>VN!G33*(1-CMVMC!$B$14)</f>
        <v>0</v>
      </c>
      <c r="H14" s="348">
        <f>VN!H33*(1-CMVMC!$B$14)</f>
        <v>0</v>
      </c>
      <c r="I14" s="62"/>
    </row>
    <row r="15" spans="1:9" ht="13.5">
      <c r="A15" s="456" t="str">
        <f>+VN!A37</f>
        <v>Produto B</v>
      </c>
      <c r="B15" s="31"/>
      <c r="C15" s="348">
        <f>VN!C37*(1-CMVMC!$B$15)</f>
        <v>0</v>
      </c>
      <c r="D15" s="348">
        <f>VN!D37*(1-CMVMC!$B$15)</f>
        <v>0</v>
      </c>
      <c r="E15" s="348">
        <f>VN!E37*(1-CMVMC!$B$15)</f>
        <v>0</v>
      </c>
      <c r="F15" s="348">
        <f>VN!F37*(1-CMVMC!$B$15)</f>
        <v>0</v>
      </c>
      <c r="G15" s="348">
        <f>VN!G37*(1-CMVMC!$B$15)</f>
        <v>0</v>
      </c>
      <c r="H15" s="348">
        <f>VN!H37*(1-CMVMC!$B$15)</f>
        <v>0</v>
      </c>
      <c r="I15" s="62"/>
    </row>
    <row r="16" spans="1:9" ht="14.25" thickBot="1">
      <c r="A16" s="624" t="s">
        <v>48</v>
      </c>
      <c r="B16" s="624"/>
      <c r="C16" s="349">
        <f aca="true" t="shared" si="2" ref="C16:H16">+C8+C13</f>
        <v>0</v>
      </c>
      <c r="D16" s="349">
        <f t="shared" si="2"/>
        <v>0</v>
      </c>
      <c r="E16" s="349">
        <f t="shared" si="2"/>
        <v>0</v>
      </c>
      <c r="F16" s="349">
        <f t="shared" si="2"/>
        <v>0</v>
      </c>
      <c r="G16" s="349">
        <f t="shared" si="2"/>
        <v>0</v>
      </c>
      <c r="H16" s="349">
        <f t="shared" si="2"/>
        <v>0</v>
      </c>
      <c r="I16" s="62"/>
    </row>
    <row r="17" spans="1:9" ht="14.25" thickTop="1">
      <c r="A17" s="57"/>
      <c r="B17" s="57"/>
      <c r="C17" s="58"/>
      <c r="D17" s="58"/>
      <c r="E17" s="58"/>
      <c r="F17" s="58"/>
      <c r="G17" s="58"/>
      <c r="H17" s="58"/>
      <c r="I17" s="62"/>
    </row>
    <row r="18" spans="1:9" ht="14.25" thickBot="1">
      <c r="A18" s="454" t="s">
        <v>43</v>
      </c>
      <c r="B18" s="448">
        <f>+Pressupostos!B20</f>
        <v>0.23</v>
      </c>
      <c r="C18" s="76">
        <f aca="true" t="shared" si="3" ref="C18:H18">+C8*$B$18</f>
        <v>0</v>
      </c>
      <c r="D18" s="76">
        <f t="shared" si="3"/>
        <v>0</v>
      </c>
      <c r="E18" s="76">
        <f t="shared" si="3"/>
        <v>0</v>
      </c>
      <c r="F18" s="76">
        <f t="shared" si="3"/>
        <v>0</v>
      </c>
      <c r="G18" s="76">
        <f t="shared" si="3"/>
        <v>0</v>
      </c>
      <c r="H18" s="76">
        <f t="shared" si="3"/>
        <v>0</v>
      </c>
      <c r="I18" s="62"/>
    </row>
    <row r="19" spans="1:9" ht="14.25" thickTop="1">
      <c r="A19" s="54"/>
      <c r="B19" s="54"/>
      <c r="C19" s="54"/>
      <c r="D19" s="54"/>
      <c r="E19" s="54"/>
      <c r="F19" s="54"/>
      <c r="G19" s="54"/>
      <c r="H19" s="54"/>
      <c r="I19" s="62"/>
    </row>
    <row r="20" spans="1:9" ht="14.25" thickBot="1">
      <c r="A20" s="625" t="s">
        <v>49</v>
      </c>
      <c r="B20" s="625"/>
      <c r="C20" s="34">
        <f aca="true" t="shared" si="4" ref="C20:H20">+C16+C18</f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62"/>
    </row>
    <row r="21" spans="1:9" ht="14.25" thickTop="1">
      <c r="A21" s="54"/>
      <c r="B21" s="54"/>
      <c r="C21" s="54"/>
      <c r="D21" s="54"/>
      <c r="E21" s="54"/>
      <c r="F21" s="54"/>
      <c r="G21" s="54"/>
      <c r="H21" s="54"/>
      <c r="I21" s="62"/>
    </row>
    <row r="22" spans="1:9" ht="13.5">
      <c r="A22" s="54"/>
      <c r="B22" s="54"/>
      <c r="C22" s="54"/>
      <c r="D22" s="54"/>
      <c r="E22" s="54"/>
      <c r="F22" s="54"/>
      <c r="G22" s="54"/>
      <c r="H22" s="54"/>
      <c r="I22" s="62"/>
    </row>
    <row r="23" spans="1:9" ht="13.5">
      <c r="A23" s="457" t="s">
        <v>268</v>
      </c>
      <c r="B23" s="54"/>
      <c r="C23" s="54"/>
      <c r="D23" s="54"/>
      <c r="E23" s="54"/>
      <c r="F23" s="54"/>
      <c r="G23" s="54"/>
      <c r="H23" s="54"/>
      <c r="I23" s="62"/>
    </row>
    <row r="24" spans="1:9" ht="13.5">
      <c r="A24" s="458" t="s">
        <v>265</v>
      </c>
      <c r="B24" s="54"/>
      <c r="C24" s="54"/>
      <c r="D24" s="54"/>
      <c r="E24" s="54"/>
      <c r="F24" s="54"/>
      <c r="G24" s="54"/>
      <c r="H24" s="54"/>
      <c r="I24" s="62"/>
    </row>
    <row r="25" spans="1:9" ht="13.5">
      <c r="A25" s="458" t="s">
        <v>331</v>
      </c>
      <c r="B25" s="54"/>
      <c r="C25" s="54"/>
      <c r="D25" s="54"/>
      <c r="E25" s="54"/>
      <c r="F25" s="54"/>
      <c r="G25" s="54"/>
      <c r="H25" s="54"/>
      <c r="I25" s="62"/>
    </row>
    <row r="26" spans="1:9" ht="13.5">
      <c r="A26" s="458" t="s">
        <v>266</v>
      </c>
      <c r="B26" s="54"/>
      <c r="C26" s="54"/>
      <c r="D26" s="54"/>
      <c r="E26" s="54"/>
      <c r="F26" s="54"/>
      <c r="G26" s="54"/>
      <c r="H26" s="54"/>
      <c r="I26" s="62"/>
    </row>
    <row r="27" spans="1:9" ht="13.5">
      <c r="A27" s="77"/>
      <c r="B27" s="54"/>
      <c r="C27" s="54"/>
      <c r="D27" s="54"/>
      <c r="E27" s="54"/>
      <c r="F27" s="54"/>
      <c r="G27" s="54"/>
      <c r="H27" s="54"/>
      <c r="I27" s="62"/>
    </row>
    <row r="28" spans="1:9" ht="13.5">
      <c r="A28" s="457" t="s">
        <v>267</v>
      </c>
      <c r="B28" s="54"/>
      <c r="C28" s="54"/>
      <c r="D28" s="54"/>
      <c r="E28" s="54"/>
      <c r="F28" s="54"/>
      <c r="G28" s="54"/>
      <c r="H28" s="54"/>
      <c r="I28" s="62"/>
    </row>
    <row r="29" spans="1:9" ht="13.5">
      <c r="A29" s="78"/>
      <c r="B29" s="54"/>
      <c r="C29" s="54"/>
      <c r="D29" s="54"/>
      <c r="E29" s="54"/>
      <c r="F29" s="54"/>
      <c r="G29" s="54"/>
      <c r="H29" s="54"/>
      <c r="I29" s="62"/>
    </row>
    <row r="30" spans="1:8" ht="13.5">
      <c r="A30" s="79"/>
      <c r="B30" s="62"/>
      <c r="C30" s="62"/>
      <c r="D30" s="62"/>
      <c r="E30" s="62"/>
      <c r="F30" s="62"/>
      <c r="G30" s="62"/>
      <c r="H30" s="62"/>
    </row>
    <row r="31" spans="1:8" ht="13.5">
      <c r="A31" s="62"/>
      <c r="B31" s="62"/>
      <c r="C31" s="62"/>
      <c r="D31" s="62"/>
      <c r="E31" s="62"/>
      <c r="F31" s="62"/>
      <c r="G31" s="62"/>
      <c r="H31" s="62"/>
    </row>
    <row r="32" spans="1:8" ht="13.5">
      <c r="A32" s="62"/>
      <c r="B32" s="62"/>
      <c r="C32" s="62"/>
      <c r="D32" s="62"/>
      <c r="E32" s="62"/>
      <c r="F32" s="62"/>
      <c r="G32" s="62"/>
      <c r="H32" s="62"/>
    </row>
    <row r="33" spans="1:8" ht="13.5">
      <c r="A33" s="62"/>
      <c r="B33" s="62"/>
      <c r="C33" s="62"/>
      <c r="D33" s="62"/>
      <c r="E33" s="62"/>
      <c r="F33" s="62"/>
      <c r="G33" s="62"/>
      <c r="H33" s="62"/>
    </row>
    <row r="34" spans="1:8" ht="13.5">
      <c r="A34" s="62"/>
      <c r="B34" s="62"/>
      <c r="C34" s="62"/>
      <c r="D34" s="62"/>
      <c r="E34" s="62"/>
      <c r="F34" s="62"/>
      <c r="G34" s="62"/>
      <c r="H34" s="62"/>
    </row>
    <row r="35" spans="1:8" ht="13.5">
      <c r="A35" s="62"/>
      <c r="B35" s="62"/>
      <c r="C35" s="62"/>
      <c r="D35" s="62"/>
      <c r="E35" s="62"/>
      <c r="F35" s="62"/>
      <c r="G35" s="62"/>
      <c r="H35" s="62"/>
    </row>
    <row r="36" spans="1:8" ht="13.5">
      <c r="A36" s="62"/>
      <c r="B36" s="62"/>
      <c r="C36" s="62"/>
      <c r="D36" s="62"/>
      <c r="E36" s="62"/>
      <c r="F36" s="62"/>
      <c r="G36" s="62"/>
      <c r="H36" s="62"/>
    </row>
    <row r="37" spans="1:8" ht="13.5">
      <c r="A37" s="62"/>
      <c r="B37" s="62"/>
      <c r="C37" s="62"/>
      <c r="D37" s="62"/>
      <c r="E37" s="62"/>
      <c r="F37" s="62"/>
      <c r="G37" s="62"/>
      <c r="H37" s="62"/>
    </row>
    <row r="38" spans="1:8" ht="13.5">
      <c r="A38" s="62"/>
      <c r="B38" s="62"/>
      <c r="C38" s="62"/>
      <c r="D38" s="62"/>
      <c r="E38" s="62"/>
      <c r="F38" s="62"/>
      <c r="G38" s="62"/>
      <c r="H38" s="62"/>
    </row>
    <row r="39" spans="1:8" ht="13.5">
      <c r="A39" s="62"/>
      <c r="B39" s="62"/>
      <c r="C39" s="62"/>
      <c r="D39" s="62"/>
      <c r="E39" s="62"/>
      <c r="F39" s="62"/>
      <c r="G39" s="62"/>
      <c r="H39" s="62"/>
    </row>
    <row r="40" spans="1:8" ht="13.5">
      <c r="A40" s="62"/>
      <c r="B40" s="62"/>
      <c r="C40" s="62"/>
      <c r="D40" s="62"/>
      <c r="E40" s="62"/>
      <c r="F40" s="62"/>
      <c r="G40" s="62"/>
      <c r="H40" s="62"/>
    </row>
    <row r="41" spans="1:8" ht="13.5">
      <c r="A41" s="62"/>
      <c r="B41" s="62"/>
      <c r="C41" s="62"/>
      <c r="D41" s="62"/>
      <c r="E41" s="62"/>
      <c r="F41" s="62"/>
      <c r="G41" s="62"/>
      <c r="H41" s="62"/>
    </row>
    <row r="42" spans="1:8" ht="13.5">
      <c r="A42" s="62"/>
      <c r="B42" s="62"/>
      <c r="C42" s="62"/>
      <c r="D42" s="62"/>
      <c r="E42" s="62"/>
      <c r="F42" s="62"/>
      <c r="G42" s="62"/>
      <c r="H42" s="62"/>
    </row>
    <row r="43" spans="1:8" ht="13.5">
      <c r="A43" s="62"/>
      <c r="B43" s="62"/>
      <c r="C43" s="62"/>
      <c r="D43" s="62"/>
      <c r="E43" s="62"/>
      <c r="F43" s="62"/>
      <c r="G43" s="62"/>
      <c r="H43" s="62"/>
    </row>
    <row r="44" spans="1:8" ht="13.5">
      <c r="A44" s="62"/>
      <c r="B44" s="62"/>
      <c r="C44" s="62"/>
      <c r="D44" s="62"/>
      <c r="E44" s="62"/>
      <c r="F44" s="62"/>
      <c r="G44" s="62"/>
      <c r="H44" s="62"/>
    </row>
    <row r="45" spans="1:8" ht="13.5">
      <c r="A45" s="62"/>
      <c r="B45" s="62"/>
      <c r="C45" s="62"/>
      <c r="D45" s="62"/>
      <c r="E45" s="62"/>
      <c r="F45" s="62"/>
      <c r="G45" s="62"/>
      <c r="H45" s="62"/>
    </row>
    <row r="46" spans="1:8" ht="13.5">
      <c r="A46" s="62"/>
      <c r="B46" s="62"/>
      <c r="C46" s="62"/>
      <c r="D46" s="62"/>
      <c r="E46" s="62"/>
      <c r="F46" s="62"/>
      <c r="G46" s="62"/>
      <c r="H46" s="62"/>
    </row>
    <row r="47" spans="1:8" ht="13.5">
      <c r="A47" s="62"/>
      <c r="B47" s="62"/>
      <c r="C47" s="62"/>
      <c r="D47" s="62"/>
      <c r="E47" s="62"/>
      <c r="F47" s="62"/>
      <c r="G47" s="62"/>
      <c r="H47" s="62"/>
    </row>
    <row r="48" spans="1:8" ht="13.5">
      <c r="A48" s="62"/>
      <c r="B48" s="62"/>
      <c r="C48" s="62"/>
      <c r="D48" s="62"/>
      <c r="E48" s="62"/>
      <c r="F48" s="62"/>
      <c r="G48" s="62"/>
      <c r="H48" s="62"/>
    </row>
    <row r="49" spans="1:8" ht="13.5">
      <c r="A49" s="62"/>
      <c r="B49" s="62"/>
      <c r="C49" s="62"/>
      <c r="D49" s="62"/>
      <c r="E49" s="62"/>
      <c r="F49" s="62"/>
      <c r="G49" s="62"/>
      <c r="H49" s="62"/>
    </row>
    <row r="50" spans="1:8" ht="13.5">
      <c r="A50" s="62"/>
      <c r="B50" s="62"/>
      <c r="C50" s="62"/>
      <c r="D50" s="62"/>
      <c r="E50" s="62"/>
      <c r="F50" s="62"/>
      <c r="G50" s="62"/>
      <c r="H50" s="62"/>
    </row>
    <row r="51" spans="1:8" ht="13.5">
      <c r="A51" s="62"/>
      <c r="B51" s="62"/>
      <c r="C51" s="62"/>
      <c r="D51" s="62"/>
      <c r="E51" s="62"/>
      <c r="F51" s="62"/>
      <c r="G51" s="62"/>
      <c r="H51" s="62"/>
    </row>
    <row r="52" spans="1:8" ht="13.5">
      <c r="A52" s="62"/>
      <c r="B52" s="62"/>
      <c r="C52" s="62"/>
      <c r="D52" s="62"/>
      <c r="E52" s="62"/>
      <c r="F52" s="62"/>
      <c r="G52" s="62"/>
      <c r="H52" s="62"/>
    </row>
    <row r="53" spans="1:8" ht="13.5">
      <c r="A53" s="62"/>
      <c r="B53" s="62"/>
      <c r="C53" s="62"/>
      <c r="D53" s="62"/>
      <c r="E53" s="62"/>
      <c r="F53" s="62"/>
      <c r="G53" s="62"/>
      <c r="H53" s="62"/>
    </row>
    <row r="54" spans="1:8" ht="13.5">
      <c r="A54" s="62"/>
      <c r="B54" s="62"/>
      <c r="C54" s="62"/>
      <c r="D54" s="62"/>
      <c r="E54" s="62"/>
      <c r="F54" s="62"/>
      <c r="G54" s="62"/>
      <c r="H54" s="62"/>
    </row>
    <row r="55" spans="1:8" ht="13.5">
      <c r="A55" s="62"/>
      <c r="B55" s="62"/>
      <c r="C55" s="62"/>
      <c r="D55" s="62"/>
      <c r="E55" s="62"/>
      <c r="F55" s="62"/>
      <c r="G55" s="62"/>
      <c r="H55" s="62"/>
    </row>
    <row r="56" spans="1:8" ht="13.5">
      <c r="A56" s="62"/>
      <c r="B56" s="62"/>
      <c r="C56" s="62"/>
      <c r="D56" s="62"/>
      <c r="E56" s="62"/>
      <c r="F56" s="62"/>
      <c r="G56" s="62"/>
      <c r="H56" s="62"/>
    </row>
    <row r="57" spans="1:8" ht="13.5">
      <c r="A57" s="62"/>
      <c r="B57" s="62"/>
      <c r="C57" s="62"/>
      <c r="D57" s="62"/>
      <c r="E57" s="62"/>
      <c r="F57" s="62"/>
      <c r="G57" s="62"/>
      <c r="H57" s="62"/>
    </row>
    <row r="58" spans="1:8" ht="13.5">
      <c r="A58" s="62"/>
      <c r="B58" s="62"/>
      <c r="C58" s="62"/>
      <c r="D58" s="62"/>
      <c r="E58" s="62"/>
      <c r="F58" s="62"/>
      <c r="G58" s="62"/>
      <c r="H58" s="62"/>
    </row>
    <row r="59" spans="1:8" ht="13.5">
      <c r="A59" s="62"/>
      <c r="B59" s="62"/>
      <c r="C59" s="62"/>
      <c r="D59" s="62"/>
      <c r="E59" s="62"/>
      <c r="F59" s="62"/>
      <c r="G59" s="62"/>
      <c r="H59" s="62"/>
    </row>
    <row r="60" spans="1:8" ht="13.5">
      <c r="A60" s="62"/>
      <c r="B60" s="62"/>
      <c r="C60" s="62"/>
      <c r="D60" s="62"/>
      <c r="E60" s="62"/>
      <c r="F60" s="62"/>
      <c r="G60" s="62"/>
      <c r="H60" s="62"/>
    </row>
    <row r="61" spans="1:8" ht="13.5">
      <c r="A61" s="62"/>
      <c r="B61" s="62"/>
      <c r="C61" s="62"/>
      <c r="D61" s="62"/>
      <c r="E61" s="62"/>
      <c r="F61" s="62"/>
      <c r="G61" s="62"/>
      <c r="H61" s="62"/>
    </row>
    <row r="62" spans="1:8" ht="13.5">
      <c r="A62" s="62"/>
      <c r="B62" s="62"/>
      <c r="C62" s="62"/>
      <c r="D62" s="62"/>
      <c r="E62" s="62"/>
      <c r="F62" s="62"/>
      <c r="G62" s="62"/>
      <c r="H62" s="62"/>
    </row>
    <row r="63" spans="1:8" ht="13.5">
      <c r="A63" s="62"/>
      <c r="B63" s="62"/>
      <c r="C63" s="62"/>
      <c r="D63" s="62"/>
      <c r="E63" s="62"/>
      <c r="F63" s="62"/>
      <c r="G63" s="62"/>
      <c r="H63" s="62"/>
    </row>
    <row r="64" spans="1:8" ht="13.5">
      <c r="A64" s="62"/>
      <c r="B64" s="62"/>
      <c r="C64" s="62"/>
      <c r="D64" s="62"/>
      <c r="E64" s="62"/>
      <c r="F64" s="62"/>
      <c r="G64" s="62"/>
      <c r="H64" s="62"/>
    </row>
    <row r="65" spans="1:8" ht="13.5">
      <c r="A65" s="62"/>
      <c r="B65" s="62"/>
      <c r="C65" s="62"/>
      <c r="D65" s="62"/>
      <c r="E65" s="62"/>
      <c r="F65" s="62"/>
      <c r="G65" s="62"/>
      <c r="H65" s="62"/>
    </row>
    <row r="66" spans="1:8" ht="13.5">
      <c r="A66" s="62"/>
      <c r="B66" s="62"/>
      <c r="C66" s="62"/>
      <c r="D66" s="62"/>
      <c r="E66" s="62"/>
      <c r="F66" s="62"/>
      <c r="G66" s="62"/>
      <c r="H66" s="62"/>
    </row>
    <row r="67" spans="1:8" ht="13.5">
      <c r="A67" s="62"/>
      <c r="B67" s="62"/>
      <c r="C67" s="62"/>
      <c r="D67" s="62"/>
      <c r="E67" s="62"/>
      <c r="F67" s="62"/>
      <c r="G67" s="62"/>
      <c r="H67" s="62"/>
    </row>
    <row r="68" spans="1:8" ht="13.5">
      <c r="A68" s="62"/>
      <c r="B68" s="62"/>
      <c r="C68" s="62"/>
      <c r="D68" s="62"/>
      <c r="E68" s="62"/>
      <c r="F68" s="62"/>
      <c r="G68" s="62"/>
      <c r="H68" s="62"/>
    </row>
    <row r="69" spans="1:8" ht="13.5">
      <c r="A69" s="62"/>
      <c r="B69" s="62"/>
      <c r="C69" s="62"/>
      <c r="D69" s="62"/>
      <c r="E69" s="62"/>
      <c r="F69" s="62"/>
      <c r="G69" s="62"/>
      <c r="H69" s="62"/>
    </row>
    <row r="70" spans="1:8" ht="13.5">
      <c r="A70" s="62"/>
      <c r="B70" s="62"/>
      <c r="C70" s="62"/>
      <c r="D70" s="62"/>
      <c r="E70" s="62"/>
      <c r="F70" s="62"/>
      <c r="G70" s="62"/>
      <c r="H70" s="62"/>
    </row>
    <row r="71" spans="1:8" ht="13.5">
      <c r="A71" s="62"/>
      <c r="B71" s="62"/>
      <c r="C71" s="62"/>
      <c r="D71" s="62"/>
      <c r="E71" s="62"/>
      <c r="F71" s="62"/>
      <c r="G71" s="62"/>
      <c r="H71" s="62"/>
    </row>
    <row r="72" spans="1:8" ht="13.5">
      <c r="A72" s="62"/>
      <c r="B72" s="62"/>
      <c r="C72" s="62"/>
      <c r="D72" s="62"/>
      <c r="E72" s="62"/>
      <c r="F72" s="62"/>
      <c r="G72" s="62"/>
      <c r="H72" s="62"/>
    </row>
    <row r="73" spans="1:8" ht="13.5">
      <c r="A73" s="62"/>
      <c r="B73" s="62"/>
      <c r="C73" s="62"/>
      <c r="D73" s="62"/>
      <c r="E73" s="62"/>
      <c r="F73" s="62"/>
      <c r="G73" s="62"/>
      <c r="H73" s="62"/>
    </row>
    <row r="74" spans="1:8" ht="13.5">
      <c r="A74" s="62"/>
      <c r="B74" s="62"/>
      <c r="C74" s="62"/>
      <c r="D74" s="62"/>
      <c r="E74" s="62"/>
      <c r="F74" s="62"/>
      <c r="G74" s="62"/>
      <c r="H74" s="62"/>
    </row>
    <row r="75" spans="1:8" ht="13.5">
      <c r="A75" s="62"/>
      <c r="B75" s="62"/>
      <c r="C75" s="62"/>
      <c r="D75" s="62"/>
      <c r="E75" s="62"/>
      <c r="F75" s="62"/>
      <c r="G75" s="62"/>
      <c r="H75" s="62"/>
    </row>
    <row r="76" spans="1:8" ht="13.5">
      <c r="A76" s="62"/>
      <c r="B76" s="62"/>
      <c r="C76" s="62"/>
      <c r="D76" s="62"/>
      <c r="E76" s="62"/>
      <c r="F76" s="62"/>
      <c r="G76" s="62"/>
      <c r="H76" s="62"/>
    </row>
    <row r="77" spans="1:8" ht="13.5">
      <c r="A77" s="62"/>
      <c r="B77" s="62"/>
      <c r="C77" s="62"/>
      <c r="D77" s="62"/>
      <c r="E77" s="62"/>
      <c r="F77" s="62"/>
      <c r="G77" s="62"/>
      <c r="H77" s="62"/>
    </row>
    <row r="78" spans="1:8" ht="13.5">
      <c r="A78" s="62"/>
      <c r="B78" s="62"/>
      <c r="C78" s="62"/>
      <c r="D78" s="62"/>
      <c r="E78" s="62"/>
      <c r="F78" s="62"/>
      <c r="G78" s="62"/>
      <c r="H78" s="62"/>
    </row>
    <row r="79" spans="1:8" ht="13.5">
      <c r="A79" s="62"/>
      <c r="B79" s="62"/>
      <c r="C79" s="62"/>
      <c r="D79" s="62"/>
      <c r="E79" s="62"/>
      <c r="F79" s="62"/>
      <c r="G79" s="62"/>
      <c r="H79" s="62"/>
    </row>
    <row r="80" spans="1:8" ht="13.5">
      <c r="A80" s="62"/>
      <c r="B80" s="62"/>
      <c r="C80" s="62"/>
      <c r="D80" s="62"/>
      <c r="E80" s="62"/>
      <c r="F80" s="62"/>
      <c r="G80" s="62"/>
      <c r="H80" s="62"/>
    </row>
    <row r="81" spans="1:8" ht="13.5">
      <c r="A81" s="62"/>
      <c r="B81" s="62"/>
      <c r="C81" s="62"/>
      <c r="D81" s="62"/>
      <c r="E81" s="62"/>
      <c r="F81" s="62"/>
      <c r="G81" s="62"/>
      <c r="H81" s="62"/>
    </row>
    <row r="82" spans="1:8" ht="13.5">
      <c r="A82" s="62"/>
      <c r="B82" s="62"/>
      <c r="C82" s="62"/>
      <c r="D82" s="62"/>
      <c r="E82" s="62"/>
      <c r="F82" s="62"/>
      <c r="G82" s="62"/>
      <c r="H82" s="62"/>
    </row>
    <row r="83" spans="1:8" ht="13.5">
      <c r="A83" s="62"/>
      <c r="B83" s="62"/>
      <c r="C83" s="62"/>
      <c r="D83" s="62"/>
      <c r="E83" s="62"/>
      <c r="F83" s="62"/>
      <c r="G83" s="62"/>
      <c r="H83" s="62"/>
    </row>
    <row r="84" spans="1:8" ht="13.5">
      <c r="A84" s="62"/>
      <c r="B84" s="62"/>
      <c r="C84" s="62"/>
      <c r="D84" s="62"/>
      <c r="E84" s="62"/>
      <c r="F84" s="62"/>
      <c r="G84" s="62"/>
      <c r="H84" s="62"/>
    </row>
    <row r="85" spans="1:8" ht="13.5">
      <c r="A85" s="62"/>
      <c r="B85" s="62"/>
      <c r="C85" s="62"/>
      <c r="D85" s="62"/>
      <c r="E85" s="62"/>
      <c r="F85" s="62"/>
      <c r="G85" s="62"/>
      <c r="H85" s="62"/>
    </row>
    <row r="86" spans="1:8" ht="13.5">
      <c r="A86" s="62"/>
      <c r="B86" s="62"/>
      <c r="C86" s="62"/>
      <c r="D86" s="62"/>
      <c r="E86" s="62"/>
      <c r="F86" s="62"/>
      <c r="G86" s="62"/>
      <c r="H86" s="62"/>
    </row>
    <row r="87" spans="1:8" ht="13.5">
      <c r="A87" s="62"/>
      <c r="B87" s="62"/>
      <c r="C87" s="62"/>
      <c r="D87" s="62"/>
      <c r="E87" s="62"/>
      <c r="F87" s="62"/>
      <c r="G87" s="62"/>
      <c r="H87" s="62"/>
    </row>
    <row r="88" spans="1:8" ht="13.5">
      <c r="A88" s="62"/>
      <c r="B88" s="62"/>
      <c r="C88" s="62"/>
      <c r="D88" s="62"/>
      <c r="E88" s="62"/>
      <c r="F88" s="62"/>
      <c r="G88" s="62"/>
      <c r="H88" s="62"/>
    </row>
    <row r="89" spans="1:8" ht="13.5">
      <c r="A89" s="62"/>
      <c r="B89" s="62"/>
      <c r="C89" s="62"/>
      <c r="D89" s="62"/>
      <c r="E89" s="62"/>
      <c r="F89" s="62"/>
      <c r="G89" s="62"/>
      <c r="H89" s="62"/>
    </row>
    <row r="90" spans="1:8" ht="13.5">
      <c r="A90" s="62"/>
      <c r="B90" s="62"/>
      <c r="C90" s="62"/>
      <c r="D90" s="62"/>
      <c r="E90" s="62"/>
      <c r="F90" s="62"/>
      <c r="G90" s="62"/>
      <c r="H90" s="62"/>
    </row>
    <row r="91" spans="1:8" ht="13.5">
      <c r="A91" s="62"/>
      <c r="B91" s="62"/>
      <c r="C91" s="62"/>
      <c r="D91" s="62"/>
      <c r="E91" s="62"/>
      <c r="F91" s="62"/>
      <c r="G91" s="62"/>
      <c r="H91" s="62"/>
    </row>
    <row r="92" spans="1:8" ht="13.5">
      <c r="A92" s="62"/>
      <c r="B92" s="62"/>
      <c r="C92" s="62"/>
      <c r="D92" s="62"/>
      <c r="E92" s="62"/>
      <c r="F92" s="62"/>
      <c r="G92" s="62"/>
      <c r="H92" s="62"/>
    </row>
    <row r="93" spans="1:8" ht="13.5">
      <c r="A93" s="62"/>
      <c r="B93" s="62"/>
      <c r="C93" s="62"/>
      <c r="D93" s="62"/>
      <c r="E93" s="62"/>
      <c r="F93" s="62"/>
      <c r="G93" s="62"/>
      <c r="H93" s="62"/>
    </row>
    <row r="94" spans="1:8" ht="13.5">
      <c r="A94" s="62"/>
      <c r="B94" s="62"/>
      <c r="C94" s="62"/>
      <c r="D94" s="62"/>
      <c r="E94" s="62"/>
      <c r="F94" s="62"/>
      <c r="G94" s="62"/>
      <c r="H94" s="62"/>
    </row>
    <row r="95" spans="1:8" ht="13.5">
      <c r="A95" s="62"/>
      <c r="B95" s="62"/>
      <c r="C95" s="62"/>
      <c r="D95" s="62"/>
      <c r="E95" s="62"/>
      <c r="F95" s="62"/>
      <c r="G95" s="62"/>
      <c r="H95" s="62"/>
    </row>
    <row r="96" spans="1:8" ht="13.5">
      <c r="A96" s="62"/>
      <c r="B96" s="62"/>
      <c r="C96" s="62"/>
      <c r="D96" s="62"/>
      <c r="E96" s="62"/>
      <c r="F96" s="62"/>
      <c r="G96" s="62"/>
      <c r="H96" s="62"/>
    </row>
    <row r="97" spans="1:8" ht="13.5">
      <c r="A97" s="62"/>
      <c r="B97" s="62"/>
      <c r="C97" s="62"/>
      <c r="D97" s="62"/>
      <c r="E97" s="62"/>
      <c r="F97" s="62"/>
      <c r="G97" s="62"/>
      <c r="H97" s="62"/>
    </row>
    <row r="98" spans="1:8" ht="13.5">
      <c r="A98" s="62"/>
      <c r="B98" s="62"/>
      <c r="C98" s="62"/>
      <c r="D98" s="62"/>
      <c r="E98" s="62"/>
      <c r="F98" s="62"/>
      <c r="G98" s="62"/>
      <c r="H98" s="62"/>
    </row>
    <row r="99" spans="1:8" ht="13.5">
      <c r="A99" s="62"/>
      <c r="B99" s="62"/>
      <c r="C99" s="62"/>
      <c r="D99" s="62"/>
      <c r="E99" s="62"/>
      <c r="F99" s="62"/>
      <c r="G99" s="62"/>
      <c r="H99" s="62"/>
    </row>
    <row r="100" spans="1:8" ht="13.5">
      <c r="A100" s="62"/>
      <c r="B100" s="62"/>
      <c r="C100" s="62"/>
      <c r="D100" s="62"/>
      <c r="E100" s="62"/>
      <c r="F100" s="62"/>
      <c r="G100" s="62"/>
      <c r="H100" s="62"/>
    </row>
    <row r="101" spans="1:8" ht="13.5">
      <c r="A101" s="62"/>
      <c r="B101" s="62"/>
      <c r="C101" s="62"/>
      <c r="D101" s="62"/>
      <c r="E101" s="62"/>
      <c r="F101" s="62"/>
      <c r="G101" s="62"/>
      <c r="H101" s="62"/>
    </row>
    <row r="102" spans="1:8" ht="13.5">
      <c r="A102" s="62"/>
      <c r="B102" s="62"/>
      <c r="C102" s="62"/>
      <c r="D102" s="62"/>
      <c r="E102" s="62"/>
      <c r="F102" s="62"/>
      <c r="G102" s="62"/>
      <c r="H102" s="62"/>
    </row>
    <row r="103" spans="1:8" ht="13.5">
      <c r="A103" s="62"/>
      <c r="B103" s="62"/>
      <c r="C103" s="62"/>
      <c r="D103" s="62"/>
      <c r="E103" s="62"/>
      <c r="F103" s="62"/>
      <c r="G103" s="62"/>
      <c r="H103" s="62"/>
    </row>
    <row r="104" spans="1:8" ht="13.5">
      <c r="A104" s="62"/>
      <c r="B104" s="62"/>
      <c r="C104" s="62"/>
      <c r="D104" s="62"/>
      <c r="E104" s="62"/>
      <c r="F104" s="62"/>
      <c r="G104" s="62"/>
      <c r="H104" s="62"/>
    </row>
    <row r="105" spans="1:8" ht="13.5">
      <c r="A105" s="62"/>
      <c r="B105" s="62"/>
      <c r="C105" s="62"/>
      <c r="D105" s="62"/>
      <c r="E105" s="62"/>
      <c r="F105" s="62"/>
      <c r="G105" s="62"/>
      <c r="H105" s="62"/>
    </row>
    <row r="106" spans="1:8" ht="13.5">
      <c r="A106" s="62"/>
      <c r="B106" s="62"/>
      <c r="C106" s="62"/>
      <c r="D106" s="62"/>
      <c r="E106" s="62"/>
      <c r="F106" s="62"/>
      <c r="G106" s="62"/>
      <c r="H106" s="62"/>
    </row>
    <row r="107" spans="1:8" ht="13.5">
      <c r="A107" s="62"/>
      <c r="B107" s="62"/>
      <c r="C107" s="62"/>
      <c r="D107" s="62"/>
      <c r="E107" s="62"/>
      <c r="F107" s="62"/>
      <c r="G107" s="62"/>
      <c r="H107" s="62"/>
    </row>
    <row r="108" spans="1:8" ht="13.5">
      <c r="A108" s="62"/>
      <c r="B108" s="62"/>
      <c r="C108" s="62"/>
      <c r="D108" s="62"/>
      <c r="E108" s="62"/>
      <c r="F108" s="62"/>
      <c r="G108" s="62"/>
      <c r="H108" s="62"/>
    </row>
    <row r="109" spans="1:8" ht="13.5">
      <c r="A109" s="62"/>
      <c r="B109" s="62"/>
      <c r="C109" s="62"/>
      <c r="D109" s="62"/>
      <c r="E109" s="62"/>
      <c r="F109" s="62"/>
      <c r="G109" s="62"/>
      <c r="H109" s="62"/>
    </row>
    <row r="110" spans="1:8" ht="13.5">
      <c r="A110" s="62"/>
      <c r="B110" s="62"/>
      <c r="C110" s="62"/>
      <c r="D110" s="62"/>
      <c r="E110" s="62"/>
      <c r="F110" s="62"/>
      <c r="G110" s="62"/>
      <c r="H110" s="62"/>
    </row>
    <row r="111" spans="1:8" ht="13.5">
      <c r="A111" s="62"/>
      <c r="B111" s="62"/>
      <c r="C111" s="62"/>
      <c r="D111" s="62"/>
      <c r="E111" s="62"/>
      <c r="F111" s="62"/>
      <c r="G111" s="62"/>
      <c r="H111" s="62"/>
    </row>
    <row r="112" spans="1:8" ht="13.5">
      <c r="A112" s="62"/>
      <c r="B112" s="62"/>
      <c r="C112" s="62"/>
      <c r="D112" s="62"/>
      <c r="E112" s="62"/>
      <c r="F112" s="62"/>
      <c r="G112" s="62"/>
      <c r="H112" s="62"/>
    </row>
    <row r="113" spans="1:8" ht="13.5">
      <c r="A113" s="62"/>
      <c r="B113" s="62"/>
      <c r="C113" s="62"/>
      <c r="D113" s="62"/>
      <c r="E113" s="62"/>
      <c r="F113" s="62"/>
      <c r="G113" s="62"/>
      <c r="H113" s="62"/>
    </row>
    <row r="114" spans="1:8" ht="13.5">
      <c r="A114" s="62"/>
      <c r="B114" s="62"/>
      <c r="C114" s="62"/>
      <c r="D114" s="62"/>
      <c r="E114" s="62"/>
      <c r="F114" s="62"/>
      <c r="G114" s="62"/>
      <c r="H114" s="62"/>
    </row>
    <row r="115" spans="1:8" ht="13.5">
      <c r="A115" s="62"/>
      <c r="B115" s="62"/>
      <c r="C115" s="62"/>
      <c r="D115" s="62"/>
      <c r="E115" s="62"/>
      <c r="F115" s="62"/>
      <c r="G115" s="62"/>
      <c r="H115" s="62"/>
    </row>
    <row r="116" spans="1:8" ht="13.5">
      <c r="A116" s="62"/>
      <c r="B116" s="62"/>
      <c r="C116" s="62"/>
      <c r="D116" s="62"/>
      <c r="E116" s="62"/>
      <c r="F116" s="62"/>
      <c r="G116" s="62"/>
      <c r="H116" s="62"/>
    </row>
    <row r="117" spans="1:8" ht="13.5">
      <c r="A117" s="62"/>
      <c r="B117" s="62"/>
      <c r="C117" s="62"/>
      <c r="D117" s="62"/>
      <c r="E117" s="62"/>
      <c r="F117" s="62"/>
      <c r="G117" s="62"/>
      <c r="H117" s="62"/>
    </row>
    <row r="118" spans="1:8" ht="13.5">
      <c r="A118" s="62"/>
      <c r="B118" s="62"/>
      <c r="C118" s="62"/>
      <c r="D118" s="62"/>
      <c r="E118" s="62"/>
      <c r="F118" s="62"/>
      <c r="G118" s="62"/>
      <c r="H118" s="62"/>
    </row>
    <row r="119" spans="1:8" ht="13.5">
      <c r="A119" s="62"/>
      <c r="B119" s="62"/>
      <c r="C119" s="62"/>
      <c r="D119" s="62"/>
      <c r="E119" s="62"/>
      <c r="F119" s="62"/>
      <c r="G119" s="62"/>
      <c r="H119" s="62"/>
    </row>
    <row r="120" spans="1:8" ht="13.5">
      <c r="A120" s="62"/>
      <c r="B120" s="62"/>
      <c r="C120" s="62"/>
      <c r="D120" s="62"/>
      <c r="E120" s="62"/>
      <c r="F120" s="62"/>
      <c r="G120" s="62"/>
      <c r="H120" s="62"/>
    </row>
    <row r="121" spans="1:8" ht="13.5">
      <c r="A121" s="62"/>
      <c r="B121" s="62"/>
      <c r="C121" s="62"/>
      <c r="D121" s="62"/>
      <c r="E121" s="62"/>
      <c r="F121" s="62"/>
      <c r="G121" s="62"/>
      <c r="H121" s="62"/>
    </row>
    <row r="122" spans="1:8" ht="13.5">
      <c r="A122" s="62"/>
      <c r="B122" s="62"/>
      <c r="C122" s="62"/>
      <c r="D122" s="62"/>
      <c r="E122" s="62"/>
      <c r="F122" s="62"/>
      <c r="G122" s="62"/>
      <c r="H122" s="62"/>
    </row>
    <row r="123" spans="1:8" ht="13.5">
      <c r="A123" s="62"/>
      <c r="B123" s="62"/>
      <c r="C123" s="62"/>
      <c r="D123" s="62"/>
      <c r="E123" s="62"/>
      <c r="F123" s="62"/>
      <c r="G123" s="62"/>
      <c r="H123" s="62"/>
    </row>
    <row r="124" spans="1:8" ht="13.5">
      <c r="A124" s="62"/>
      <c r="B124" s="62"/>
      <c r="C124" s="62"/>
      <c r="D124" s="62"/>
      <c r="E124" s="62"/>
      <c r="F124" s="62"/>
      <c r="G124" s="62"/>
      <c r="H124" s="62"/>
    </row>
    <row r="125" spans="1:8" ht="13.5">
      <c r="A125" s="62"/>
      <c r="B125" s="62"/>
      <c r="C125" s="62"/>
      <c r="D125" s="62"/>
      <c r="E125" s="62"/>
      <c r="F125" s="62"/>
      <c r="G125" s="62"/>
      <c r="H125" s="62"/>
    </row>
    <row r="126" spans="1:8" ht="13.5">
      <c r="A126" s="62"/>
      <c r="B126" s="62"/>
      <c r="C126" s="62"/>
      <c r="D126" s="62"/>
      <c r="E126" s="62"/>
      <c r="F126" s="62"/>
      <c r="G126" s="62"/>
      <c r="H126" s="62"/>
    </row>
    <row r="127" spans="1:8" ht="13.5">
      <c r="A127" s="62"/>
      <c r="B127" s="62"/>
      <c r="C127" s="62"/>
      <c r="D127" s="62"/>
      <c r="E127" s="62"/>
      <c r="F127" s="62"/>
      <c r="G127" s="62"/>
      <c r="H127" s="62"/>
    </row>
    <row r="128" spans="1:8" ht="13.5">
      <c r="A128" s="62"/>
      <c r="B128" s="62"/>
      <c r="C128" s="62"/>
      <c r="D128" s="62"/>
      <c r="E128" s="62"/>
      <c r="F128" s="62"/>
      <c r="G128" s="62"/>
      <c r="H128" s="62"/>
    </row>
    <row r="129" spans="1:8" ht="13.5">
      <c r="A129" s="62"/>
      <c r="B129" s="62"/>
      <c r="C129" s="62"/>
      <c r="D129" s="62"/>
      <c r="E129" s="62"/>
      <c r="F129" s="62"/>
      <c r="G129" s="62"/>
      <c r="H129" s="62"/>
    </row>
    <row r="130" spans="1:8" ht="13.5">
      <c r="A130" s="62"/>
      <c r="B130" s="62"/>
      <c r="C130" s="62"/>
      <c r="D130" s="62"/>
      <c r="E130" s="62"/>
      <c r="F130" s="62"/>
      <c r="G130" s="62"/>
      <c r="H130" s="62"/>
    </row>
    <row r="131" spans="1:8" ht="13.5">
      <c r="A131" s="62"/>
      <c r="B131" s="62"/>
      <c r="C131" s="62"/>
      <c r="D131" s="62"/>
      <c r="E131" s="62"/>
      <c r="F131" s="62"/>
      <c r="G131" s="62"/>
      <c r="H131" s="62"/>
    </row>
    <row r="132" spans="1:8" ht="13.5">
      <c r="A132" s="62"/>
      <c r="B132" s="62"/>
      <c r="C132" s="62"/>
      <c r="D132" s="62"/>
      <c r="E132" s="62"/>
      <c r="F132" s="62"/>
      <c r="G132" s="62"/>
      <c r="H132" s="62"/>
    </row>
    <row r="133" spans="1:8" ht="13.5">
      <c r="A133" s="62"/>
      <c r="B133" s="62"/>
      <c r="C133" s="62"/>
      <c r="D133" s="62"/>
      <c r="E133" s="62"/>
      <c r="F133" s="62"/>
      <c r="G133" s="62"/>
      <c r="H133" s="62"/>
    </row>
    <row r="134" spans="1:8" ht="13.5">
      <c r="A134" s="62"/>
      <c r="B134" s="62"/>
      <c r="C134" s="62"/>
      <c r="D134" s="62"/>
      <c r="E134" s="62"/>
      <c r="F134" s="62"/>
      <c r="G134" s="62"/>
      <c r="H134" s="62"/>
    </row>
    <row r="135" spans="1:8" ht="13.5">
      <c r="A135" s="62"/>
      <c r="B135" s="62"/>
      <c r="C135" s="62"/>
      <c r="D135" s="62"/>
      <c r="E135" s="62"/>
      <c r="F135" s="62"/>
      <c r="G135" s="62"/>
      <c r="H135" s="62"/>
    </row>
    <row r="136" spans="1:8" ht="13.5">
      <c r="A136" s="62"/>
      <c r="B136" s="62"/>
      <c r="C136" s="62"/>
      <c r="D136" s="62"/>
      <c r="E136" s="62"/>
      <c r="F136" s="62"/>
      <c r="G136" s="62"/>
      <c r="H136" s="62"/>
    </row>
    <row r="137" spans="1:8" ht="13.5">
      <c r="A137" s="62"/>
      <c r="B137" s="62"/>
      <c r="C137" s="62"/>
      <c r="D137" s="62"/>
      <c r="E137" s="62"/>
      <c r="F137" s="62"/>
      <c r="G137" s="62"/>
      <c r="H137" s="62"/>
    </row>
    <row r="138" spans="1:8" ht="13.5">
      <c r="A138" s="62"/>
      <c r="B138" s="62"/>
      <c r="C138" s="62"/>
      <c r="D138" s="62"/>
      <c r="E138" s="62"/>
      <c r="F138" s="62"/>
      <c r="G138" s="62"/>
      <c r="H138" s="62"/>
    </row>
    <row r="139" spans="1:8" ht="13.5">
      <c r="A139" s="62"/>
      <c r="B139" s="62"/>
      <c r="C139" s="62"/>
      <c r="D139" s="62"/>
      <c r="E139" s="62"/>
      <c r="F139" s="62"/>
      <c r="G139" s="62"/>
      <c r="H139" s="62"/>
    </row>
    <row r="140" spans="1:8" ht="13.5">
      <c r="A140" s="62"/>
      <c r="B140" s="62"/>
      <c r="C140" s="62"/>
      <c r="D140" s="62"/>
      <c r="E140" s="62"/>
      <c r="F140" s="62"/>
      <c r="G140" s="62"/>
      <c r="H140" s="62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zoomScalePageLayoutView="0" workbookViewId="0" topLeftCell="A1">
      <selection activeCell="H34" sqref="G34:H34"/>
    </sheetView>
  </sheetViews>
  <sheetFormatPr defaultColWidth="8.7109375" defaultRowHeight="12.75"/>
  <cols>
    <col min="1" max="1" width="29.7109375" style="62" customWidth="1"/>
    <col min="2" max="4" width="6.421875" style="62" customWidth="1"/>
    <col min="5" max="5" width="11.8515625" style="62" customWidth="1"/>
    <col min="6" max="14" width="11.421875" style="62" customWidth="1"/>
    <col min="15" max="16384" width="8.7109375" style="62" customWidth="1"/>
  </cols>
  <sheetData>
    <row r="1" spans="1:11" ht="12.75">
      <c r="A1" s="54"/>
      <c r="B1" s="54"/>
      <c r="C1" s="54"/>
      <c r="D1" s="54"/>
      <c r="E1" s="46"/>
      <c r="F1" s="46"/>
      <c r="G1" s="46"/>
      <c r="H1" s="46"/>
      <c r="I1" s="46"/>
      <c r="J1" s="459" t="str">
        <f>+VN!G1</f>
        <v>Empresa:</v>
      </c>
      <c r="K1" s="460" t="str">
        <f>+Pressupostos!E1</f>
        <v>XFCP Lda</v>
      </c>
    </row>
    <row r="2" spans="1:11" ht="12.75">
      <c r="A2" s="48"/>
      <c r="B2" s="48"/>
      <c r="C2" s="48"/>
      <c r="D2" s="48"/>
      <c r="E2" s="46"/>
      <c r="F2" s="46"/>
      <c r="G2" s="46"/>
      <c r="H2" s="46"/>
      <c r="I2" s="46"/>
      <c r="J2" s="46"/>
      <c r="K2" s="49" t="str">
        <f>+Pressupostos!B9</f>
        <v>Euros</v>
      </c>
    </row>
    <row r="3" spans="1:11" ht="12.75">
      <c r="A3" s="48"/>
      <c r="B3" s="48"/>
      <c r="C3" s="48"/>
      <c r="D3" s="48"/>
      <c r="E3" s="46"/>
      <c r="F3" s="46"/>
      <c r="G3" s="46"/>
      <c r="H3" s="46"/>
      <c r="I3" s="46"/>
      <c r="J3" s="46"/>
      <c r="K3" s="49"/>
    </row>
    <row r="4" spans="1:11" ht="15.75">
      <c r="A4" s="613" t="s">
        <v>51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</row>
    <row r="5" spans="1:1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>
      <c r="A7" s="52"/>
      <c r="B7" s="81"/>
      <c r="C7" s="81"/>
      <c r="D7" s="81"/>
      <c r="E7" s="71"/>
      <c r="F7" s="51">
        <f>+VN!C8</f>
        <v>2019</v>
      </c>
      <c r="G7" s="51">
        <f>+VN!D8</f>
        <v>2020</v>
      </c>
      <c r="H7" s="51">
        <f>+VN!E8</f>
        <v>2021</v>
      </c>
      <c r="I7" s="51">
        <f>+VN!F8</f>
        <v>2022</v>
      </c>
      <c r="J7" s="51">
        <f>+VN!G8</f>
        <v>2023</v>
      </c>
      <c r="K7" s="51">
        <f>+VN!H8</f>
        <v>2024</v>
      </c>
    </row>
    <row r="8" spans="1:11" ht="12.75">
      <c r="A8" s="82" t="s">
        <v>492</v>
      </c>
      <c r="B8" s="83"/>
      <c r="C8" s="83"/>
      <c r="D8" s="83"/>
      <c r="E8" s="85"/>
      <c r="F8" s="564">
        <v>12</v>
      </c>
      <c r="G8" s="564">
        <v>12</v>
      </c>
      <c r="H8" s="564">
        <v>12</v>
      </c>
      <c r="I8" s="564">
        <v>12</v>
      </c>
      <c r="J8" s="564">
        <v>12</v>
      </c>
      <c r="K8" s="566">
        <v>12</v>
      </c>
    </row>
    <row r="9" spans="1:11" ht="12.75">
      <c r="A9" s="82" t="s">
        <v>495</v>
      </c>
      <c r="B9" s="83"/>
      <c r="C9" s="83"/>
      <c r="D9" s="83"/>
      <c r="E9" s="85"/>
      <c r="F9" s="86">
        <v>0</v>
      </c>
      <c r="G9" s="565"/>
      <c r="H9" s="565"/>
      <c r="I9" s="565"/>
      <c r="J9" s="565"/>
      <c r="K9" s="565"/>
    </row>
    <row r="10" spans="1:11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2.75">
      <c r="A12" s="52"/>
      <c r="B12" s="51" t="s">
        <v>90</v>
      </c>
      <c r="C12" s="51" t="s">
        <v>494</v>
      </c>
      <c r="D12" s="51" t="s">
        <v>493</v>
      </c>
      <c r="E12" s="51" t="s">
        <v>53</v>
      </c>
      <c r="F12" s="334">
        <f>+VN!C8</f>
        <v>2019</v>
      </c>
      <c r="G12" s="334">
        <f>+VN!D8</f>
        <v>2020</v>
      </c>
      <c r="H12" s="334">
        <f>+VN!E8</f>
        <v>2021</v>
      </c>
      <c r="I12" s="334">
        <f>+VN!F8</f>
        <v>2022</v>
      </c>
      <c r="J12" s="334">
        <f>+VN!G8</f>
        <v>2023</v>
      </c>
      <c r="K12" s="334">
        <f>+VN!H8</f>
        <v>2024</v>
      </c>
    </row>
    <row r="13" spans="1:11" ht="12.75">
      <c r="A13" s="464" t="s">
        <v>23</v>
      </c>
      <c r="B13" s="462">
        <f>Pressupostos!$B$21</f>
        <v>0.23</v>
      </c>
      <c r="C13" s="463">
        <f>100%-D13</f>
        <v>1</v>
      </c>
      <c r="D13" s="383"/>
      <c r="E13" s="335"/>
      <c r="F13" s="350">
        <f>E13*$F$8</f>
        <v>0</v>
      </c>
      <c r="G13" s="350">
        <f>+E13*$G$8*(1+$G$9)</f>
        <v>0</v>
      </c>
      <c r="H13" s="350">
        <f>+E13*(1+$G$9)*(1+$H$9)*H$8</f>
        <v>0</v>
      </c>
      <c r="I13" s="350">
        <f>+H13*(1+I$9)</f>
        <v>0</v>
      </c>
      <c r="J13" s="350">
        <f aca="true" t="shared" si="0" ref="J13:K15">+I13*(1+J$9)</f>
        <v>0</v>
      </c>
      <c r="K13" s="350">
        <f t="shared" si="0"/>
        <v>0</v>
      </c>
    </row>
    <row r="14" spans="1:11" ht="12.75">
      <c r="A14" s="465" t="s">
        <v>332</v>
      </c>
      <c r="B14" s="384"/>
      <c r="C14" s="385"/>
      <c r="D14" s="384"/>
      <c r="E14" s="336"/>
      <c r="F14" s="351"/>
      <c r="G14" s="351"/>
      <c r="H14" s="351"/>
      <c r="I14" s="351"/>
      <c r="J14" s="351"/>
      <c r="K14" s="351"/>
    </row>
    <row r="15" spans="1:11" ht="12.75">
      <c r="A15" s="278" t="s">
        <v>333</v>
      </c>
      <c r="B15" s="462">
        <f>Pressupostos!$B$21</f>
        <v>0.23</v>
      </c>
      <c r="C15" s="463">
        <f aca="true" t="shared" si="1" ref="C15:C42">100%-D15</f>
        <v>1</v>
      </c>
      <c r="D15" s="383"/>
      <c r="E15" s="335"/>
      <c r="F15" s="350">
        <f aca="true" t="shared" si="2" ref="F15:F20">E15*$F$8</f>
        <v>0</v>
      </c>
      <c r="G15" s="350">
        <f aca="true" t="shared" si="3" ref="G15:G20">+E15*$G$8*(1+$G$9)</f>
        <v>0</v>
      </c>
      <c r="H15" s="350">
        <f aca="true" t="shared" si="4" ref="H15:H20">+E15*(1+$G$9)*(1+$H$9)*H$8</f>
        <v>0</v>
      </c>
      <c r="I15" s="350">
        <f aca="true" t="shared" si="5" ref="I15:I20">+H15*(1+I$9)</f>
        <v>0</v>
      </c>
      <c r="J15" s="350">
        <f t="shared" si="0"/>
        <v>0</v>
      </c>
      <c r="K15" s="350">
        <f t="shared" si="0"/>
        <v>0</v>
      </c>
    </row>
    <row r="16" spans="1:11" ht="12.75">
      <c r="A16" s="278" t="s">
        <v>334</v>
      </c>
      <c r="B16" s="462">
        <f>Pressupostos!$B$21</f>
        <v>0.23</v>
      </c>
      <c r="C16" s="463">
        <f t="shared" si="1"/>
        <v>1</v>
      </c>
      <c r="D16" s="383"/>
      <c r="E16" s="335"/>
      <c r="F16" s="350">
        <f t="shared" si="2"/>
        <v>0</v>
      </c>
      <c r="G16" s="350">
        <f t="shared" si="3"/>
        <v>0</v>
      </c>
      <c r="H16" s="350">
        <f t="shared" si="4"/>
        <v>0</v>
      </c>
      <c r="I16" s="350">
        <f t="shared" si="5"/>
        <v>0</v>
      </c>
      <c r="J16" s="350">
        <f aca="true" t="shared" si="6" ref="J16:K20">+I16*(1+J$9)</f>
        <v>0</v>
      </c>
      <c r="K16" s="350">
        <f t="shared" si="6"/>
        <v>0</v>
      </c>
    </row>
    <row r="17" spans="1:11" ht="12.75">
      <c r="A17" s="278" t="s">
        <v>335</v>
      </c>
      <c r="B17" s="462">
        <f>Pressupostos!$B$21</f>
        <v>0.23</v>
      </c>
      <c r="C17" s="463">
        <f t="shared" si="1"/>
        <v>1</v>
      </c>
      <c r="D17" s="383"/>
      <c r="E17" s="335"/>
      <c r="F17" s="350">
        <f t="shared" si="2"/>
        <v>0</v>
      </c>
      <c r="G17" s="350">
        <f>G19</f>
        <v>0</v>
      </c>
      <c r="H17" s="350">
        <f t="shared" si="4"/>
        <v>0</v>
      </c>
      <c r="I17" s="350">
        <f t="shared" si="5"/>
        <v>0</v>
      </c>
      <c r="J17" s="350">
        <f t="shared" si="6"/>
        <v>0</v>
      </c>
      <c r="K17" s="350">
        <f t="shared" si="6"/>
        <v>0</v>
      </c>
    </row>
    <row r="18" spans="1:11" ht="12.75">
      <c r="A18" s="278" t="s">
        <v>29</v>
      </c>
      <c r="B18" s="462">
        <f>Pressupostos!$B$21</f>
        <v>0.23</v>
      </c>
      <c r="C18" s="463">
        <f t="shared" si="1"/>
        <v>1</v>
      </c>
      <c r="D18" s="383"/>
      <c r="E18" s="335"/>
      <c r="F18" s="350">
        <f t="shared" si="2"/>
        <v>0</v>
      </c>
      <c r="G18" s="350">
        <f t="shared" si="3"/>
        <v>0</v>
      </c>
      <c r="H18" s="350">
        <f t="shared" si="4"/>
        <v>0</v>
      </c>
      <c r="I18" s="350">
        <f t="shared" si="5"/>
        <v>0</v>
      </c>
      <c r="J18" s="350">
        <f t="shared" si="6"/>
        <v>0</v>
      </c>
      <c r="K18" s="350">
        <f t="shared" si="6"/>
        <v>0</v>
      </c>
    </row>
    <row r="19" spans="1:11" ht="12.75">
      <c r="A19" s="278" t="s">
        <v>25</v>
      </c>
      <c r="B19" s="462">
        <f>Pressupostos!$B$21</f>
        <v>0.23</v>
      </c>
      <c r="C19" s="463">
        <f t="shared" si="1"/>
        <v>1</v>
      </c>
      <c r="D19" s="383"/>
      <c r="E19" s="335"/>
      <c r="F19" s="350">
        <f t="shared" si="2"/>
        <v>0</v>
      </c>
      <c r="G19" s="350">
        <f t="shared" si="3"/>
        <v>0</v>
      </c>
      <c r="H19" s="350">
        <f t="shared" si="4"/>
        <v>0</v>
      </c>
      <c r="I19" s="350">
        <f t="shared" si="5"/>
        <v>0</v>
      </c>
      <c r="J19" s="350">
        <f t="shared" si="6"/>
        <v>0</v>
      </c>
      <c r="K19" s="350">
        <f t="shared" si="6"/>
        <v>0</v>
      </c>
    </row>
    <row r="20" spans="1:11" ht="12.75">
      <c r="A20" s="278" t="s">
        <v>336</v>
      </c>
      <c r="B20" s="462">
        <f>Pressupostos!$B$21</f>
        <v>0.23</v>
      </c>
      <c r="C20" s="463">
        <f t="shared" si="1"/>
        <v>1</v>
      </c>
      <c r="D20" s="383"/>
      <c r="E20" s="335"/>
      <c r="F20" s="350">
        <f t="shared" si="2"/>
        <v>0</v>
      </c>
      <c r="G20" s="350">
        <f t="shared" si="3"/>
        <v>0</v>
      </c>
      <c r="H20" s="350">
        <f t="shared" si="4"/>
        <v>0</v>
      </c>
      <c r="I20" s="350">
        <f t="shared" si="5"/>
        <v>0</v>
      </c>
      <c r="J20" s="350">
        <f t="shared" si="6"/>
        <v>0</v>
      </c>
      <c r="K20" s="350">
        <f t="shared" si="6"/>
        <v>0</v>
      </c>
    </row>
    <row r="21" spans="1:11" ht="12.75">
      <c r="A21" s="465" t="s">
        <v>164</v>
      </c>
      <c r="B21" s="384"/>
      <c r="C21" s="385"/>
      <c r="D21" s="384"/>
      <c r="E21" s="336"/>
      <c r="F21" s="351"/>
      <c r="G21" s="351"/>
      <c r="H21" s="351"/>
      <c r="I21" s="351"/>
      <c r="J21" s="351"/>
      <c r="K21" s="351"/>
    </row>
    <row r="22" spans="1:11" ht="12.75">
      <c r="A22" s="278" t="s">
        <v>337</v>
      </c>
      <c r="B22" s="462">
        <f>Pressupostos!$B$21</f>
        <v>0.23</v>
      </c>
      <c r="C22" s="463">
        <f t="shared" si="1"/>
        <v>1</v>
      </c>
      <c r="D22" s="383"/>
      <c r="E22" s="335"/>
      <c r="F22" s="350">
        <f>E22*$F$8</f>
        <v>0</v>
      </c>
      <c r="G22" s="350">
        <f>+E22*$G$8*(1+$G$9)</f>
        <v>0</v>
      </c>
      <c r="H22" s="350">
        <f>+E22*(1+$G$9)*(1+$H$9)*H$8</f>
        <v>0</v>
      </c>
      <c r="I22" s="350">
        <f aca="true" t="shared" si="7" ref="I22:K25">+H22*(1+I$9)</f>
        <v>0</v>
      </c>
      <c r="J22" s="350">
        <f t="shared" si="7"/>
        <v>0</v>
      </c>
      <c r="K22" s="350">
        <f t="shared" si="7"/>
        <v>0</v>
      </c>
    </row>
    <row r="23" spans="1:11" ht="12.75">
      <c r="A23" s="278" t="s">
        <v>338</v>
      </c>
      <c r="B23" s="462">
        <f>Pressupostos!$B$21</f>
        <v>0.23</v>
      </c>
      <c r="C23" s="463">
        <f t="shared" si="1"/>
        <v>1</v>
      </c>
      <c r="D23" s="383"/>
      <c r="E23" s="335"/>
      <c r="F23" s="350">
        <f>E23*$F$8</f>
        <v>0</v>
      </c>
      <c r="G23" s="350">
        <f>+E23*$G$8*(1+$G$9)</f>
        <v>0</v>
      </c>
      <c r="H23" s="350">
        <f>+E23*(1+$G$9)*(1+$H$9)*H$8</f>
        <v>0</v>
      </c>
      <c r="I23" s="350">
        <f t="shared" si="7"/>
        <v>0</v>
      </c>
      <c r="J23" s="350">
        <f t="shared" si="7"/>
        <v>0</v>
      </c>
      <c r="K23" s="350">
        <f t="shared" si="7"/>
        <v>0</v>
      </c>
    </row>
    <row r="24" spans="1:11" ht="12.75">
      <c r="A24" s="278" t="s">
        <v>339</v>
      </c>
      <c r="B24" s="462">
        <f>Pressupostos!$B$21</f>
        <v>0.23</v>
      </c>
      <c r="C24" s="463">
        <f t="shared" si="1"/>
        <v>1</v>
      </c>
      <c r="D24" s="383"/>
      <c r="E24" s="335"/>
      <c r="F24" s="350">
        <f>E24*$F$8</f>
        <v>0</v>
      </c>
      <c r="G24" s="350">
        <f>+E24*$G$8*(1+$G$9)</f>
        <v>0</v>
      </c>
      <c r="H24" s="350">
        <f>+E24*(1+$G$9)*(1+$H$9)*H$8</f>
        <v>0</v>
      </c>
      <c r="I24" s="350">
        <f t="shared" si="7"/>
        <v>0</v>
      </c>
      <c r="J24" s="350">
        <f t="shared" si="7"/>
        <v>0</v>
      </c>
      <c r="K24" s="350">
        <f t="shared" si="7"/>
        <v>0</v>
      </c>
    </row>
    <row r="25" spans="1:11" ht="12.75">
      <c r="A25" s="278" t="s">
        <v>340</v>
      </c>
      <c r="B25" s="462">
        <f>Pressupostos!$B$21</f>
        <v>0.23</v>
      </c>
      <c r="C25" s="463">
        <f t="shared" si="1"/>
        <v>1</v>
      </c>
      <c r="D25" s="383"/>
      <c r="E25" s="335"/>
      <c r="F25" s="350">
        <f>E25*$F$8</f>
        <v>0</v>
      </c>
      <c r="G25" s="350">
        <f>+E25*$G$8*(1+$G$9)</f>
        <v>0</v>
      </c>
      <c r="H25" s="350">
        <f>+E25*(1+$G$9)*(1+$H$9)*H$8</f>
        <v>0</v>
      </c>
      <c r="I25" s="350">
        <f t="shared" si="7"/>
        <v>0</v>
      </c>
      <c r="J25" s="350">
        <f t="shared" si="7"/>
        <v>0</v>
      </c>
      <c r="K25" s="350">
        <f t="shared" si="7"/>
        <v>0</v>
      </c>
    </row>
    <row r="26" spans="1:11" ht="12.75">
      <c r="A26" s="465" t="s">
        <v>341</v>
      </c>
      <c r="B26" s="384"/>
      <c r="C26" s="385"/>
      <c r="D26" s="384"/>
      <c r="E26" s="336"/>
      <c r="F26" s="351"/>
      <c r="G26" s="351"/>
      <c r="H26" s="351"/>
      <c r="I26" s="351"/>
      <c r="J26" s="351"/>
      <c r="K26" s="351"/>
    </row>
    <row r="27" spans="1:11" ht="12.75">
      <c r="A27" s="278" t="s">
        <v>269</v>
      </c>
      <c r="B27" s="462">
        <f>Pressupostos!$B$21</f>
        <v>0.23</v>
      </c>
      <c r="C27" s="463">
        <f t="shared" si="1"/>
        <v>1</v>
      </c>
      <c r="D27" s="383"/>
      <c r="E27" s="335"/>
      <c r="F27" s="350">
        <f>E27*$F$8</f>
        <v>0</v>
      </c>
      <c r="G27" s="350">
        <f>+E27*$G$8*(1+$G$9)</f>
        <v>0</v>
      </c>
      <c r="H27" s="350">
        <f>+E27*(1+$G$9)*(1+$H$9)*H$8</f>
        <v>0</v>
      </c>
      <c r="I27" s="350">
        <f aca="true" t="shared" si="8" ref="I27:K29">+H27*(1+I$9)</f>
        <v>0</v>
      </c>
      <c r="J27" s="350">
        <f t="shared" si="8"/>
        <v>0</v>
      </c>
      <c r="K27" s="350">
        <f t="shared" si="8"/>
        <v>0</v>
      </c>
    </row>
    <row r="28" spans="1:11" ht="12.75">
      <c r="A28" s="278" t="s">
        <v>165</v>
      </c>
      <c r="B28" s="462">
        <f>Pressupostos!$B$21</f>
        <v>0.23</v>
      </c>
      <c r="C28" s="463">
        <f t="shared" si="1"/>
        <v>1</v>
      </c>
      <c r="D28" s="383"/>
      <c r="E28" s="335"/>
      <c r="F28" s="350">
        <f>E28*$F$8</f>
        <v>0</v>
      </c>
      <c r="G28" s="350">
        <f>+E28*$G$8*(1+$G$9)</f>
        <v>0</v>
      </c>
      <c r="H28" s="350">
        <f>+E28*(1+$G$9)*(1+$H$9)*H$8</f>
        <v>0</v>
      </c>
      <c r="I28" s="350">
        <f t="shared" si="8"/>
        <v>0</v>
      </c>
      <c r="J28" s="350">
        <f t="shared" si="8"/>
        <v>0</v>
      </c>
      <c r="K28" s="350">
        <f t="shared" si="8"/>
        <v>0</v>
      </c>
    </row>
    <row r="29" spans="1:11" ht="12.75">
      <c r="A29" s="278" t="s">
        <v>166</v>
      </c>
      <c r="B29" s="462">
        <v>0.06</v>
      </c>
      <c r="C29" s="463">
        <f t="shared" si="1"/>
        <v>1</v>
      </c>
      <c r="D29" s="383"/>
      <c r="E29" s="335"/>
      <c r="F29" s="350">
        <f>E29*$F$8</f>
        <v>0</v>
      </c>
      <c r="G29" s="350">
        <f>+E29*$G$8*(1+$G$9)</f>
        <v>0</v>
      </c>
      <c r="H29" s="350">
        <f>+E29*(1+$G$9)*(1+$H$9)*H$8</f>
        <v>0</v>
      </c>
      <c r="I29" s="350">
        <f t="shared" si="8"/>
        <v>0</v>
      </c>
      <c r="J29" s="350">
        <f t="shared" si="8"/>
        <v>0</v>
      </c>
      <c r="K29" s="350">
        <f t="shared" si="8"/>
        <v>0</v>
      </c>
    </row>
    <row r="30" spans="1:11" ht="12.75">
      <c r="A30" s="465" t="s">
        <v>342</v>
      </c>
      <c r="B30" s="384"/>
      <c r="C30" s="385"/>
      <c r="D30" s="384"/>
      <c r="E30" s="336"/>
      <c r="F30" s="351"/>
      <c r="G30" s="351"/>
      <c r="H30" s="351"/>
      <c r="I30" s="351"/>
      <c r="J30" s="351"/>
      <c r="K30" s="351"/>
    </row>
    <row r="31" spans="1:11" ht="12.75">
      <c r="A31" s="278" t="s">
        <v>167</v>
      </c>
      <c r="B31" s="462">
        <f>Pressupostos!$B$21</f>
        <v>0.23</v>
      </c>
      <c r="C31" s="463">
        <f t="shared" si="1"/>
        <v>1</v>
      </c>
      <c r="D31" s="383"/>
      <c r="E31" s="335"/>
      <c r="F31" s="350">
        <f>E31*$F$8</f>
        <v>0</v>
      </c>
      <c r="G31" s="350">
        <f>+E31*$G$8*(1+$G$9)</f>
        <v>0</v>
      </c>
      <c r="H31" s="350">
        <f>+E31*(1+$G$9)*(1+$H$9)*H$8</f>
        <v>0</v>
      </c>
      <c r="I31" s="350">
        <f aca="true" t="shared" si="9" ref="I31:K33">+H31*(1+I$9)</f>
        <v>0</v>
      </c>
      <c r="J31" s="350">
        <f t="shared" si="9"/>
        <v>0</v>
      </c>
      <c r="K31" s="350">
        <f t="shared" si="9"/>
        <v>0</v>
      </c>
    </row>
    <row r="32" spans="1:11" ht="12.75">
      <c r="A32" s="278" t="s">
        <v>343</v>
      </c>
      <c r="B32" s="462">
        <f>Pressupostos!$B$21</f>
        <v>0.23</v>
      </c>
      <c r="C32" s="463">
        <f t="shared" si="1"/>
        <v>1</v>
      </c>
      <c r="D32" s="383"/>
      <c r="E32" s="335"/>
      <c r="F32" s="350">
        <f>E32*$F$8</f>
        <v>0</v>
      </c>
      <c r="G32" s="350">
        <f>+E32*$G$8*(1+$G$9)</f>
        <v>0</v>
      </c>
      <c r="H32" s="350">
        <f>+E32*(1+$G$9)*(1+$H$9)*H$8</f>
        <v>0</v>
      </c>
      <c r="I32" s="350">
        <f t="shared" si="9"/>
        <v>0</v>
      </c>
      <c r="J32" s="350">
        <f t="shared" si="9"/>
        <v>0</v>
      </c>
      <c r="K32" s="350">
        <f t="shared" si="9"/>
        <v>0</v>
      </c>
    </row>
    <row r="33" spans="1:11" ht="12.75">
      <c r="A33" s="278" t="s">
        <v>344</v>
      </c>
      <c r="B33" s="462">
        <f>Pressupostos!$B$21</f>
        <v>0.23</v>
      </c>
      <c r="C33" s="463">
        <f t="shared" si="1"/>
        <v>1</v>
      </c>
      <c r="D33" s="383"/>
      <c r="E33" s="335"/>
      <c r="F33" s="350">
        <f>E33*$F$8</f>
        <v>0</v>
      </c>
      <c r="G33" s="350">
        <f>+E33*$G$8*(1+$G$9)</f>
        <v>0</v>
      </c>
      <c r="H33" s="350">
        <f>+E33*(1+$G$9)*(1+$H$9)*H$8</f>
        <v>0</v>
      </c>
      <c r="I33" s="350">
        <f t="shared" si="9"/>
        <v>0</v>
      </c>
      <c r="J33" s="350">
        <f t="shared" si="9"/>
        <v>0</v>
      </c>
      <c r="K33" s="350">
        <f t="shared" si="9"/>
        <v>0</v>
      </c>
    </row>
    <row r="34" spans="1:11" ht="12.75">
      <c r="A34" s="466" t="s">
        <v>345</v>
      </c>
      <c r="B34" s="384"/>
      <c r="C34" s="385"/>
      <c r="D34" s="384"/>
      <c r="E34" s="336"/>
      <c r="F34" s="351"/>
      <c r="G34" s="351"/>
      <c r="H34" s="351"/>
      <c r="I34" s="351"/>
      <c r="J34" s="351"/>
      <c r="K34" s="351"/>
    </row>
    <row r="35" spans="1:11" ht="12.75">
      <c r="A35" s="278" t="s">
        <v>346</v>
      </c>
      <c r="B35" s="462">
        <f>Pressupostos!$B$21</f>
        <v>0.23</v>
      </c>
      <c r="C35" s="463">
        <f t="shared" si="1"/>
        <v>1</v>
      </c>
      <c r="D35" s="383"/>
      <c r="E35" s="335"/>
      <c r="F35" s="350">
        <f aca="true" t="shared" si="10" ref="F35:F42">E35*$F$8</f>
        <v>0</v>
      </c>
      <c r="G35" s="350">
        <f aca="true" t="shared" si="11" ref="G35:G42">+E35*$G$8*(1+$G$9)</f>
        <v>0</v>
      </c>
      <c r="H35" s="350">
        <v>0</v>
      </c>
      <c r="I35" s="350">
        <f aca="true" t="shared" si="12" ref="I35:K42">+H35*(1+I$9)</f>
        <v>0</v>
      </c>
      <c r="J35" s="350">
        <f t="shared" si="12"/>
        <v>0</v>
      </c>
      <c r="K35" s="350">
        <f t="shared" si="12"/>
        <v>0</v>
      </c>
    </row>
    <row r="36" spans="1:11" ht="12.75">
      <c r="A36" s="278" t="s">
        <v>27</v>
      </c>
      <c r="B36" s="462">
        <f>Pressupostos!$B$21</f>
        <v>0.23</v>
      </c>
      <c r="C36" s="463">
        <f t="shared" si="1"/>
        <v>1</v>
      </c>
      <c r="D36" s="383"/>
      <c r="E36" s="335"/>
      <c r="F36" s="350">
        <f t="shared" si="10"/>
        <v>0</v>
      </c>
      <c r="G36" s="350">
        <f t="shared" si="11"/>
        <v>0</v>
      </c>
      <c r="H36" s="350">
        <f aca="true" t="shared" si="13" ref="H36:H42">+E36*(1+$G$9)*(1+$H$9)*H$8</f>
        <v>0</v>
      </c>
      <c r="I36" s="350">
        <f t="shared" si="12"/>
        <v>0</v>
      </c>
      <c r="J36" s="350">
        <f t="shared" si="12"/>
        <v>0</v>
      </c>
      <c r="K36" s="350">
        <f t="shared" si="12"/>
        <v>0</v>
      </c>
    </row>
    <row r="37" spans="1:11" ht="12.75">
      <c r="A37" s="278" t="s">
        <v>28</v>
      </c>
      <c r="B37" s="462">
        <v>0</v>
      </c>
      <c r="C37" s="463">
        <f t="shared" si="1"/>
        <v>1</v>
      </c>
      <c r="D37" s="383"/>
      <c r="E37" s="335"/>
      <c r="F37" s="350">
        <f t="shared" si="10"/>
        <v>0</v>
      </c>
      <c r="G37" s="350">
        <f t="shared" si="11"/>
        <v>0</v>
      </c>
      <c r="H37" s="350">
        <f t="shared" si="13"/>
        <v>0</v>
      </c>
      <c r="I37" s="350">
        <f t="shared" si="12"/>
        <v>0</v>
      </c>
      <c r="J37" s="350">
        <f t="shared" si="12"/>
        <v>0</v>
      </c>
      <c r="K37" s="350">
        <f t="shared" si="12"/>
        <v>0</v>
      </c>
    </row>
    <row r="38" spans="1:11" ht="12.75">
      <c r="A38" s="278" t="s">
        <v>24</v>
      </c>
      <c r="B38" s="462">
        <f>Pressupostos!$B$21</f>
        <v>0.23</v>
      </c>
      <c r="C38" s="463">
        <f t="shared" si="1"/>
        <v>1</v>
      </c>
      <c r="D38" s="383"/>
      <c r="E38" s="335"/>
      <c r="F38" s="350">
        <f t="shared" si="10"/>
        <v>0</v>
      </c>
      <c r="G38" s="350">
        <f t="shared" si="11"/>
        <v>0</v>
      </c>
      <c r="H38" s="350">
        <f t="shared" si="13"/>
        <v>0</v>
      </c>
      <c r="I38" s="350">
        <f t="shared" si="12"/>
        <v>0</v>
      </c>
      <c r="J38" s="350">
        <f t="shared" si="12"/>
        <v>0</v>
      </c>
      <c r="K38" s="350">
        <f t="shared" si="12"/>
        <v>0</v>
      </c>
    </row>
    <row r="39" spans="1:11" ht="12.75">
      <c r="A39" s="278" t="s">
        <v>347</v>
      </c>
      <c r="B39" s="462">
        <f>Pressupostos!$B$21</f>
        <v>0.23</v>
      </c>
      <c r="C39" s="463">
        <f t="shared" si="1"/>
        <v>1</v>
      </c>
      <c r="D39" s="383"/>
      <c r="E39" s="335"/>
      <c r="F39" s="350">
        <f t="shared" si="10"/>
        <v>0</v>
      </c>
      <c r="G39" s="350">
        <f t="shared" si="11"/>
        <v>0</v>
      </c>
      <c r="H39" s="350">
        <f t="shared" si="13"/>
        <v>0</v>
      </c>
      <c r="I39" s="350">
        <f t="shared" si="12"/>
        <v>0</v>
      </c>
      <c r="J39" s="350">
        <f t="shared" si="12"/>
        <v>0</v>
      </c>
      <c r="K39" s="350">
        <f t="shared" si="12"/>
        <v>0</v>
      </c>
    </row>
    <row r="40" spans="1:11" ht="12.75">
      <c r="A40" s="278" t="s">
        <v>348</v>
      </c>
      <c r="B40" s="462">
        <f>Pressupostos!$B$21</f>
        <v>0.23</v>
      </c>
      <c r="C40" s="463">
        <f t="shared" si="1"/>
        <v>1</v>
      </c>
      <c r="D40" s="383"/>
      <c r="E40" s="335"/>
      <c r="F40" s="350">
        <f t="shared" si="10"/>
        <v>0</v>
      </c>
      <c r="G40" s="350">
        <f t="shared" si="11"/>
        <v>0</v>
      </c>
      <c r="H40" s="350">
        <f t="shared" si="13"/>
        <v>0</v>
      </c>
      <c r="I40" s="350">
        <f t="shared" si="12"/>
        <v>0</v>
      </c>
      <c r="J40" s="350">
        <f t="shared" si="12"/>
        <v>0</v>
      </c>
      <c r="K40" s="350">
        <f t="shared" si="12"/>
        <v>0</v>
      </c>
    </row>
    <row r="41" spans="1:11" ht="12.75">
      <c r="A41" s="278" t="s">
        <v>349</v>
      </c>
      <c r="B41" s="462">
        <f>Pressupostos!$B$21</f>
        <v>0.23</v>
      </c>
      <c r="C41" s="463">
        <f t="shared" si="1"/>
        <v>1</v>
      </c>
      <c r="D41" s="383"/>
      <c r="E41" s="335"/>
      <c r="F41" s="350">
        <f t="shared" si="10"/>
        <v>0</v>
      </c>
      <c r="G41" s="350">
        <f t="shared" si="11"/>
        <v>0</v>
      </c>
      <c r="H41" s="350">
        <f t="shared" si="13"/>
        <v>0</v>
      </c>
      <c r="I41" s="350">
        <f t="shared" si="12"/>
        <v>0</v>
      </c>
      <c r="J41" s="350">
        <f t="shared" si="12"/>
        <v>0</v>
      </c>
      <c r="K41" s="350">
        <f t="shared" si="12"/>
        <v>0</v>
      </c>
    </row>
    <row r="42" spans="1:11" ht="12.75">
      <c r="A42" s="465" t="s">
        <v>350</v>
      </c>
      <c r="B42" s="462">
        <f>Pressupostos!$B$21</f>
        <v>0.23</v>
      </c>
      <c r="C42" s="463">
        <f t="shared" si="1"/>
        <v>1</v>
      </c>
      <c r="D42" s="383"/>
      <c r="E42" s="335"/>
      <c r="F42" s="350">
        <f t="shared" si="10"/>
        <v>0</v>
      </c>
      <c r="G42" s="350">
        <f t="shared" si="11"/>
        <v>0</v>
      </c>
      <c r="H42" s="350">
        <f t="shared" si="13"/>
        <v>0</v>
      </c>
      <c r="I42" s="350">
        <f t="shared" si="12"/>
        <v>0</v>
      </c>
      <c r="J42" s="350">
        <f t="shared" si="12"/>
        <v>0</v>
      </c>
      <c r="K42" s="350">
        <f t="shared" si="12"/>
        <v>0</v>
      </c>
    </row>
    <row r="43" spans="1:11" ht="15" customHeight="1" thickBot="1">
      <c r="A43" s="629" t="s">
        <v>14</v>
      </c>
      <c r="B43" s="630"/>
      <c r="C43" s="630"/>
      <c r="D43" s="630"/>
      <c r="E43" s="631"/>
      <c r="F43" s="337">
        <f aca="true" t="shared" si="14" ref="F43:K43">SUM(F13:F42)</f>
        <v>0</v>
      </c>
      <c r="G43" s="337">
        <f t="shared" si="14"/>
        <v>0</v>
      </c>
      <c r="H43" s="337">
        <f t="shared" si="14"/>
        <v>0</v>
      </c>
      <c r="I43" s="337">
        <f t="shared" si="14"/>
        <v>0</v>
      </c>
      <c r="J43" s="337">
        <f t="shared" si="14"/>
        <v>0</v>
      </c>
      <c r="K43" s="337">
        <f t="shared" si="14"/>
        <v>0</v>
      </c>
    </row>
    <row r="44" spans="1:11" ht="13.5" thickTop="1">
      <c r="A44" s="54"/>
      <c r="B44" s="54"/>
      <c r="C44" s="54"/>
      <c r="D44" s="54"/>
      <c r="E44" s="54"/>
      <c r="F44" s="338"/>
      <c r="G44" s="338"/>
      <c r="H44" s="338"/>
      <c r="I44" s="338"/>
      <c r="J44" s="338"/>
      <c r="K44" s="338"/>
    </row>
    <row r="45" spans="1:11" ht="14.25" customHeight="1" thickBot="1">
      <c r="A45" s="626" t="s">
        <v>202</v>
      </c>
      <c r="B45" s="627"/>
      <c r="C45" s="627"/>
      <c r="D45" s="627"/>
      <c r="E45" s="332"/>
      <c r="F45" s="339">
        <f aca="true" t="shared" si="15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339">
        <f t="shared" si="15"/>
        <v>0</v>
      </c>
      <c r="H45" s="339">
        <f t="shared" si="15"/>
        <v>0</v>
      </c>
      <c r="I45" s="339">
        <f t="shared" si="15"/>
        <v>0</v>
      </c>
      <c r="J45" s="339">
        <f t="shared" si="15"/>
        <v>0</v>
      </c>
      <c r="K45" s="339">
        <f t="shared" si="15"/>
        <v>0</v>
      </c>
    </row>
    <row r="46" spans="1:11" ht="13.5" thickTop="1">
      <c r="A46" s="333"/>
      <c r="B46" s="333"/>
      <c r="C46" s="333"/>
      <c r="D46" s="333"/>
      <c r="E46" s="333"/>
      <c r="F46" s="338"/>
      <c r="G46" s="338"/>
      <c r="H46" s="338"/>
      <c r="I46" s="338"/>
      <c r="J46" s="338"/>
      <c r="K46" s="338"/>
    </row>
    <row r="47" spans="1:11" ht="13.5" thickBot="1">
      <c r="A47" s="626" t="s">
        <v>203</v>
      </c>
      <c r="B47" s="627"/>
      <c r="C47" s="627"/>
      <c r="D47" s="627"/>
      <c r="E47" s="332"/>
      <c r="F47" s="339">
        <f aca="true" t="shared" si="16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339">
        <f t="shared" si="16"/>
        <v>0</v>
      </c>
      <c r="H47" s="339">
        <f t="shared" si="16"/>
        <v>0</v>
      </c>
      <c r="I47" s="339">
        <f t="shared" si="16"/>
        <v>0</v>
      </c>
      <c r="J47" s="339">
        <f t="shared" si="16"/>
        <v>0</v>
      </c>
      <c r="K47" s="339">
        <f t="shared" si="16"/>
        <v>0</v>
      </c>
    </row>
    <row r="48" spans="1:11" ht="13.5" thickTop="1">
      <c r="A48" s="333"/>
      <c r="B48" s="333"/>
      <c r="C48" s="333"/>
      <c r="D48" s="333"/>
      <c r="E48" s="333"/>
      <c r="F48" s="338"/>
      <c r="G48" s="338"/>
      <c r="H48" s="338"/>
      <c r="I48" s="338"/>
      <c r="J48" s="338"/>
      <c r="K48" s="338"/>
    </row>
    <row r="49" spans="1:11" ht="13.5" thickBot="1">
      <c r="A49" s="626" t="s">
        <v>204</v>
      </c>
      <c r="B49" s="627"/>
      <c r="C49" s="627"/>
      <c r="D49" s="627"/>
      <c r="E49" s="332"/>
      <c r="F49" s="339">
        <f aca="true" t="shared" si="17" ref="F49:K49">F45+F47</f>
        <v>0</v>
      </c>
      <c r="G49" s="339">
        <f t="shared" si="17"/>
        <v>0</v>
      </c>
      <c r="H49" s="339">
        <f t="shared" si="17"/>
        <v>0</v>
      </c>
      <c r="I49" s="339">
        <f t="shared" si="17"/>
        <v>0</v>
      </c>
      <c r="J49" s="339">
        <f t="shared" si="17"/>
        <v>0</v>
      </c>
      <c r="K49" s="339">
        <f t="shared" si="17"/>
        <v>0</v>
      </c>
    </row>
    <row r="50" spans="1:11" ht="13.5" thickTop="1">
      <c r="A50" s="333"/>
      <c r="B50" s="333"/>
      <c r="C50" s="333"/>
      <c r="D50" s="333"/>
      <c r="E50" s="333"/>
      <c r="F50" s="338"/>
      <c r="G50" s="338"/>
      <c r="H50" s="338"/>
      <c r="I50" s="338"/>
      <c r="J50" s="338"/>
      <c r="K50" s="338"/>
    </row>
    <row r="51" spans="1:11" ht="13.5" thickBot="1">
      <c r="A51" s="632" t="s">
        <v>43</v>
      </c>
      <c r="B51" s="632"/>
      <c r="C51" s="632"/>
      <c r="D51" s="632"/>
      <c r="E51" s="632"/>
      <c r="F51" s="340">
        <f aca="true" t="shared" si="18" ref="F51:K51">(F13*$B$13)+(F15*$B$15)+(F16*$B$16)+(F17*$B$17)+(F18*$B$18)+(F19*$B$19)+(F20*$B$20)+(F22*$B$22)+(F23*$B$23)+(F24*$B$24)+(F25*$B$25)+(F27*$B$27)+(F29*$B$29)+(F36*$B$36)+(F41*$B$41)</f>
        <v>0</v>
      </c>
      <c r="G51" s="340">
        <f t="shared" si="18"/>
        <v>0</v>
      </c>
      <c r="H51" s="340">
        <f t="shared" si="18"/>
        <v>0</v>
      </c>
      <c r="I51" s="340">
        <f t="shared" si="18"/>
        <v>0</v>
      </c>
      <c r="J51" s="340">
        <f t="shared" si="18"/>
        <v>0</v>
      </c>
      <c r="K51" s="340">
        <f t="shared" si="18"/>
        <v>0</v>
      </c>
    </row>
    <row r="52" spans="1:11" ht="13.5" thickTop="1">
      <c r="A52" s="333"/>
      <c r="B52" s="333"/>
      <c r="C52" s="333"/>
      <c r="D52" s="333"/>
      <c r="E52" s="333"/>
      <c r="F52" s="338"/>
      <c r="G52" s="338"/>
      <c r="H52" s="338"/>
      <c r="I52" s="338"/>
      <c r="J52" s="338"/>
      <c r="K52" s="338"/>
    </row>
    <row r="53" spans="1:11" ht="13.5" thickBot="1">
      <c r="A53" s="628" t="s">
        <v>42</v>
      </c>
      <c r="B53" s="628"/>
      <c r="C53" s="628"/>
      <c r="D53" s="628"/>
      <c r="E53" s="628"/>
      <c r="F53" s="341">
        <f aca="true" t="shared" si="19" ref="F53:K53">F43+F51</f>
        <v>0</v>
      </c>
      <c r="G53" s="341">
        <f t="shared" si="19"/>
        <v>0</v>
      </c>
      <c r="H53" s="341">
        <f t="shared" si="19"/>
        <v>0</v>
      </c>
      <c r="I53" s="341">
        <f t="shared" si="19"/>
        <v>0</v>
      </c>
      <c r="J53" s="341">
        <f t="shared" si="19"/>
        <v>0</v>
      </c>
      <c r="K53" s="341">
        <f t="shared" si="19"/>
        <v>0</v>
      </c>
    </row>
    <row r="54" ht="13.5" thickTop="1"/>
  </sheetData>
  <sheetProtection password="8318" sheet="1" selectLockedCell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105"/>
  <sheetViews>
    <sheetView showGridLines="0" showZeros="0" zoomScalePageLayoutView="0" workbookViewId="0" topLeftCell="A70">
      <selection activeCell="F79" sqref="F79"/>
    </sheetView>
  </sheetViews>
  <sheetFormatPr defaultColWidth="8.7109375" defaultRowHeight="12.75"/>
  <cols>
    <col min="1" max="1" width="25.28125" style="62" customWidth="1"/>
    <col min="2" max="2" width="5.28125" style="62" customWidth="1"/>
    <col min="3" max="3" width="12.57421875" style="62" customWidth="1"/>
    <col min="4" max="13" width="11.421875" style="62" customWidth="1"/>
    <col min="14" max="37" width="11.7109375" style="62" customWidth="1"/>
    <col min="38" max="16384" width="8.7109375" style="62" customWidth="1"/>
  </cols>
  <sheetData>
    <row r="1" spans="1:9" ht="12.75">
      <c r="A1" s="54"/>
      <c r="B1" s="54"/>
      <c r="C1" s="46"/>
      <c r="D1" s="46"/>
      <c r="E1" s="46"/>
      <c r="F1" s="46"/>
      <c r="G1" s="46"/>
      <c r="H1" s="459" t="str">
        <f>+VN!G1</f>
        <v>Empresa:</v>
      </c>
      <c r="I1" s="446" t="str">
        <f>+Pressupostos!E1</f>
        <v>XFCP Lda</v>
      </c>
    </row>
    <row r="2" spans="1:9" ht="12.75">
      <c r="A2" s="88"/>
      <c r="B2" s="88"/>
      <c r="C2" s="46"/>
      <c r="D2" s="46"/>
      <c r="E2" s="46"/>
      <c r="F2" s="46"/>
      <c r="G2" s="46"/>
      <c r="H2" s="46"/>
      <c r="I2" s="49" t="str">
        <f>+Pressupostos!B9</f>
        <v>Euros</v>
      </c>
    </row>
    <row r="3" spans="1:9" ht="12.75">
      <c r="A3" s="88"/>
      <c r="B3" s="88"/>
      <c r="C3" s="46"/>
      <c r="D3" s="46"/>
      <c r="E3" s="46"/>
      <c r="F3" s="46"/>
      <c r="G3" s="46"/>
      <c r="H3" s="46"/>
      <c r="I3" s="49"/>
    </row>
    <row r="4" spans="1:9" ht="15.75">
      <c r="A4" s="613" t="s">
        <v>142</v>
      </c>
      <c r="B4" s="633"/>
      <c r="C4" s="633"/>
      <c r="D4" s="633"/>
      <c r="E4" s="633"/>
      <c r="F4" s="633"/>
      <c r="G4" s="633"/>
      <c r="H4" s="633"/>
      <c r="I4" s="633"/>
    </row>
    <row r="5" spans="1:9" ht="12.75">
      <c r="A5" s="50"/>
      <c r="B5" s="50"/>
      <c r="C5" s="50"/>
      <c r="D5" s="50"/>
      <c r="E5" s="50"/>
      <c r="F5" s="50"/>
      <c r="G5" s="50"/>
      <c r="H5" s="50"/>
      <c r="I5" s="50"/>
    </row>
    <row r="6" spans="1:9" ht="12.75">
      <c r="A6" s="52"/>
      <c r="B6" s="81"/>
      <c r="C6" s="81"/>
      <c r="D6" s="51">
        <f>+VN!C8</f>
        <v>2019</v>
      </c>
      <c r="E6" s="51">
        <f>+VN!D8</f>
        <v>2020</v>
      </c>
      <c r="F6" s="51">
        <f>+VN!E8</f>
        <v>2021</v>
      </c>
      <c r="G6" s="51">
        <f>+VN!F8</f>
        <v>2022</v>
      </c>
      <c r="H6" s="51">
        <f>+VN!G8</f>
        <v>2023</v>
      </c>
      <c r="I6" s="51">
        <f>+VN!H8</f>
        <v>2024</v>
      </c>
    </row>
    <row r="7" spans="1:9" ht="12.75">
      <c r="A7" s="82" t="s">
        <v>481</v>
      </c>
      <c r="B7" s="83"/>
      <c r="C7" s="84"/>
      <c r="D7" s="461">
        <v>14</v>
      </c>
      <c r="E7" s="461">
        <v>14</v>
      </c>
      <c r="F7" s="461">
        <v>14</v>
      </c>
      <c r="G7" s="461">
        <v>14</v>
      </c>
      <c r="H7" s="461">
        <f>+G7</f>
        <v>14</v>
      </c>
      <c r="I7" s="461">
        <f>+H7</f>
        <v>14</v>
      </c>
    </row>
    <row r="8" spans="1:9" ht="12.75">
      <c r="A8" s="82" t="s">
        <v>497</v>
      </c>
      <c r="B8" s="83"/>
      <c r="C8" s="84"/>
      <c r="D8" s="557">
        <v>0</v>
      </c>
      <c r="E8" s="29"/>
      <c r="F8" s="29"/>
      <c r="G8" s="29"/>
      <c r="H8" s="29"/>
      <c r="I8" s="29"/>
    </row>
    <row r="9" spans="1:9" ht="12.75">
      <c r="A9" s="467" t="s">
        <v>496</v>
      </c>
      <c r="B9" s="468"/>
      <c r="C9" s="469"/>
      <c r="D9" s="37">
        <v>12</v>
      </c>
      <c r="E9" s="37">
        <v>12</v>
      </c>
      <c r="F9" s="37">
        <v>12</v>
      </c>
      <c r="G9" s="37">
        <v>12</v>
      </c>
      <c r="H9" s="37">
        <v>12</v>
      </c>
      <c r="I9" s="37">
        <v>12</v>
      </c>
    </row>
    <row r="10" spans="1:9" ht="12.75">
      <c r="A10" s="89"/>
      <c r="B10" s="89"/>
      <c r="C10" s="90"/>
      <c r="D10" s="54"/>
      <c r="E10" s="54"/>
      <c r="F10" s="54"/>
      <c r="G10" s="54"/>
      <c r="H10" s="54"/>
      <c r="I10" s="54"/>
    </row>
    <row r="11" spans="1:9" ht="13.5">
      <c r="A11" s="637" t="s">
        <v>351</v>
      </c>
      <c r="B11" s="638"/>
      <c r="C11" s="639"/>
      <c r="D11" s="51">
        <f aca="true" t="shared" si="0" ref="D11:I11">+D6</f>
        <v>2019</v>
      </c>
      <c r="E11" s="51">
        <f t="shared" si="0"/>
        <v>2020</v>
      </c>
      <c r="F11" s="51">
        <f t="shared" si="0"/>
        <v>2021</v>
      </c>
      <c r="G11" s="51">
        <f t="shared" si="0"/>
        <v>2022</v>
      </c>
      <c r="H11" s="51">
        <f t="shared" si="0"/>
        <v>2023</v>
      </c>
      <c r="I11" s="51">
        <f t="shared" si="0"/>
        <v>2024</v>
      </c>
    </row>
    <row r="12" spans="1:9" ht="12.75">
      <c r="A12" s="550" t="s">
        <v>270</v>
      </c>
      <c r="B12" s="551"/>
      <c r="C12" s="552"/>
      <c r="D12" s="37"/>
      <c r="E12" s="37"/>
      <c r="F12" s="37"/>
      <c r="G12" s="37"/>
      <c r="H12" s="37"/>
      <c r="I12" s="37"/>
    </row>
    <row r="13" spans="1:9" ht="12.75">
      <c r="A13" s="40" t="s">
        <v>352</v>
      </c>
      <c r="B13" s="553"/>
      <c r="C13" s="554"/>
      <c r="D13" s="37"/>
      <c r="E13" s="37"/>
      <c r="F13" s="37"/>
      <c r="G13" s="37"/>
      <c r="H13" s="37"/>
      <c r="I13" s="37"/>
    </row>
    <row r="14" spans="1:9" ht="12.75">
      <c r="A14" s="40" t="s">
        <v>353</v>
      </c>
      <c r="B14" s="553"/>
      <c r="C14" s="554"/>
      <c r="D14" s="37"/>
      <c r="E14" s="37"/>
      <c r="F14" s="37"/>
      <c r="G14" s="37"/>
      <c r="H14" s="37"/>
      <c r="I14" s="37"/>
    </row>
    <row r="15" spans="1:9" ht="12.75">
      <c r="A15" s="40" t="s">
        <v>354</v>
      </c>
      <c r="B15" s="553"/>
      <c r="C15" s="554"/>
      <c r="D15" s="37"/>
      <c r="E15" s="37"/>
      <c r="F15" s="37"/>
      <c r="G15" s="37"/>
      <c r="H15" s="37"/>
      <c r="I15" s="37"/>
    </row>
    <row r="16" spans="1:9" ht="12.75">
      <c r="A16" s="40" t="s">
        <v>126</v>
      </c>
      <c r="B16" s="553"/>
      <c r="C16" s="554"/>
      <c r="D16" s="37"/>
      <c r="E16" s="37"/>
      <c r="F16" s="37"/>
      <c r="G16" s="37"/>
      <c r="H16" s="37"/>
      <c r="I16" s="37"/>
    </row>
    <row r="17" spans="1:9" ht="12.75">
      <c r="A17" s="40" t="s">
        <v>127</v>
      </c>
      <c r="B17" s="553"/>
      <c r="C17" s="554"/>
      <c r="D17" s="37"/>
      <c r="E17" s="37"/>
      <c r="F17" s="37"/>
      <c r="G17" s="37"/>
      <c r="H17" s="37"/>
      <c r="I17" s="37"/>
    </row>
    <row r="18" spans="1:9" ht="12.75">
      <c r="A18" s="40" t="s">
        <v>128</v>
      </c>
      <c r="B18" s="553"/>
      <c r="C18" s="554"/>
      <c r="D18" s="37"/>
      <c r="E18" s="37"/>
      <c r="F18" s="37"/>
      <c r="G18" s="37"/>
      <c r="H18" s="37"/>
      <c r="I18" s="37"/>
    </row>
    <row r="19" spans="1:9" ht="12.75">
      <c r="A19" s="40" t="s">
        <v>355</v>
      </c>
      <c r="B19" s="553"/>
      <c r="C19" s="554"/>
      <c r="D19" s="37"/>
      <c r="E19" s="37"/>
      <c r="F19" s="37"/>
      <c r="G19" s="37"/>
      <c r="H19" s="37"/>
      <c r="I19" s="37"/>
    </row>
    <row r="20" spans="1:9" ht="12.75">
      <c r="A20" s="40" t="s">
        <v>129</v>
      </c>
      <c r="B20" s="553"/>
      <c r="C20" s="554"/>
      <c r="D20" s="37"/>
      <c r="E20" s="37"/>
      <c r="F20" s="37"/>
      <c r="G20" s="37"/>
      <c r="H20" s="37"/>
      <c r="I20" s="37"/>
    </row>
    <row r="21" spans="1:9" ht="12.75">
      <c r="A21" s="41"/>
      <c r="B21" s="555"/>
      <c r="C21" s="556"/>
      <c r="D21" s="35"/>
      <c r="E21" s="35"/>
      <c r="F21" s="35"/>
      <c r="G21" s="35"/>
      <c r="H21" s="35"/>
      <c r="I21" s="35"/>
    </row>
    <row r="22" spans="1:9" ht="12.75">
      <c r="A22" s="41"/>
      <c r="B22" s="555"/>
      <c r="C22" s="556"/>
      <c r="D22" s="35"/>
      <c r="E22" s="35"/>
      <c r="F22" s="35"/>
      <c r="G22" s="35"/>
      <c r="H22" s="35"/>
      <c r="I22" s="35"/>
    </row>
    <row r="23" spans="1:9" ht="13.5" thickBot="1">
      <c r="A23" s="629" t="s">
        <v>31</v>
      </c>
      <c r="B23" s="630"/>
      <c r="C23" s="631"/>
      <c r="D23" s="92">
        <f aca="true" t="shared" si="1" ref="D23:I23">+SUM(D12:D22)</f>
        <v>0</v>
      </c>
      <c r="E23" s="92">
        <f t="shared" si="1"/>
        <v>0</v>
      </c>
      <c r="F23" s="92">
        <f t="shared" si="1"/>
        <v>0</v>
      </c>
      <c r="G23" s="92">
        <f t="shared" si="1"/>
        <v>0</v>
      </c>
      <c r="H23" s="92">
        <f t="shared" si="1"/>
        <v>0</v>
      </c>
      <c r="I23" s="92">
        <f t="shared" si="1"/>
        <v>0</v>
      </c>
    </row>
    <row r="24" spans="1:9" ht="13.5" thickTop="1">
      <c r="A24" s="89"/>
      <c r="B24" s="89"/>
      <c r="C24" s="90"/>
      <c r="D24" s="54"/>
      <c r="E24" s="54"/>
      <c r="F24" s="54"/>
      <c r="G24" s="54"/>
      <c r="H24" s="54"/>
      <c r="I24" s="54"/>
    </row>
    <row r="25" spans="1:9" ht="12.75">
      <c r="A25" s="89"/>
      <c r="B25" s="89"/>
      <c r="C25" s="90"/>
      <c r="D25" s="54"/>
      <c r="E25" s="54"/>
      <c r="F25" s="54"/>
      <c r="G25" s="54"/>
      <c r="H25" s="54"/>
      <c r="I25" s="54"/>
    </row>
    <row r="26" spans="1:9" ht="13.5">
      <c r="A26" s="637" t="s">
        <v>498</v>
      </c>
      <c r="B26" s="638"/>
      <c r="C26" s="639"/>
      <c r="D26" s="51">
        <f aca="true" t="shared" si="2" ref="D26:I26">+D21</f>
        <v>0</v>
      </c>
      <c r="E26" s="51">
        <f t="shared" si="2"/>
        <v>0</v>
      </c>
      <c r="F26" s="51">
        <f t="shared" si="2"/>
        <v>0</v>
      </c>
      <c r="G26" s="51">
        <f t="shared" si="2"/>
        <v>0</v>
      </c>
      <c r="H26" s="51">
        <f t="shared" si="2"/>
        <v>0</v>
      </c>
      <c r="I26" s="51">
        <f t="shared" si="2"/>
        <v>0</v>
      </c>
    </row>
    <row r="27" spans="1:9" ht="12.75">
      <c r="A27" s="567" t="str">
        <f>+A12</f>
        <v>Administração / Direção</v>
      </c>
      <c r="B27" s="568"/>
      <c r="C27" s="569"/>
      <c r="D27" s="353"/>
      <c r="E27" s="353"/>
      <c r="F27" s="353"/>
      <c r="G27" s="353"/>
      <c r="H27" s="353"/>
      <c r="I27" s="353"/>
    </row>
    <row r="28" spans="1:9" ht="12.75">
      <c r="A28" s="470" t="str">
        <f aca="true" t="shared" si="3" ref="A28:A37">+A13</f>
        <v>Administrativa / Financeira</v>
      </c>
      <c r="B28" s="471"/>
      <c r="C28" s="472"/>
      <c r="D28" s="353"/>
      <c r="E28" s="353"/>
      <c r="F28" s="353"/>
      <c r="G28" s="353"/>
      <c r="H28" s="353"/>
      <c r="I28" s="353"/>
    </row>
    <row r="29" spans="1:9" ht="12.75">
      <c r="A29" s="470" t="str">
        <f t="shared" si="3"/>
        <v>Comercial / Marketing</v>
      </c>
      <c r="B29" s="471"/>
      <c r="C29" s="472"/>
      <c r="D29" s="353"/>
      <c r="E29" s="353"/>
      <c r="F29" s="353"/>
      <c r="G29" s="353"/>
      <c r="H29" s="353"/>
      <c r="I29" s="353"/>
    </row>
    <row r="30" spans="1:9" ht="12.75">
      <c r="A30" s="470" t="str">
        <f t="shared" si="3"/>
        <v>Produção / Operacional</v>
      </c>
      <c r="B30" s="471"/>
      <c r="C30" s="472"/>
      <c r="D30" s="353"/>
      <c r="E30" s="353"/>
      <c r="F30" s="353"/>
      <c r="G30" s="353"/>
      <c r="H30" s="353"/>
      <c r="I30" s="353"/>
    </row>
    <row r="31" spans="1:9" ht="12.75">
      <c r="A31" s="470" t="str">
        <f t="shared" si="3"/>
        <v>Qualidade</v>
      </c>
      <c r="B31" s="471"/>
      <c r="C31" s="472"/>
      <c r="D31" s="353"/>
      <c r="E31" s="353"/>
      <c r="F31" s="353"/>
      <c r="G31" s="353"/>
      <c r="H31" s="353"/>
      <c r="I31" s="353"/>
    </row>
    <row r="32" spans="1:9" ht="12.75">
      <c r="A32" s="470" t="str">
        <f t="shared" si="3"/>
        <v>Manutenção</v>
      </c>
      <c r="B32" s="471"/>
      <c r="C32" s="472"/>
      <c r="D32" s="353"/>
      <c r="E32" s="353"/>
      <c r="F32" s="353"/>
      <c r="G32" s="353"/>
      <c r="H32" s="353"/>
      <c r="I32" s="353"/>
    </row>
    <row r="33" spans="1:9" ht="12.75">
      <c r="A33" s="470" t="str">
        <f t="shared" si="3"/>
        <v>Aprovisionamento</v>
      </c>
      <c r="B33" s="471"/>
      <c r="C33" s="472"/>
      <c r="D33" s="353"/>
      <c r="E33" s="353"/>
      <c r="F33" s="353"/>
      <c r="G33" s="353"/>
      <c r="H33" s="353"/>
      <c r="I33" s="353"/>
    </row>
    <row r="34" spans="1:9" ht="12.75">
      <c r="A34" s="470" t="str">
        <f t="shared" si="3"/>
        <v>Investigação e Desenvolvimento</v>
      </c>
      <c r="B34" s="471"/>
      <c r="C34" s="472"/>
      <c r="D34" s="353"/>
      <c r="E34" s="353"/>
      <c r="F34" s="353"/>
      <c r="G34" s="353"/>
      <c r="H34" s="353"/>
      <c r="I34" s="353"/>
    </row>
    <row r="35" spans="1:9" ht="12.75">
      <c r="A35" s="470" t="str">
        <f t="shared" si="3"/>
        <v>Outros</v>
      </c>
      <c r="B35" s="471"/>
      <c r="C35" s="472"/>
      <c r="D35" s="353"/>
      <c r="E35" s="353"/>
      <c r="F35" s="353"/>
      <c r="G35" s="353"/>
      <c r="H35" s="353"/>
      <c r="I35" s="353"/>
    </row>
    <row r="36" spans="1:9" ht="12.75">
      <c r="A36" s="470">
        <f t="shared" si="3"/>
        <v>0</v>
      </c>
      <c r="B36" s="473"/>
      <c r="C36" s="474"/>
      <c r="D36" s="35"/>
      <c r="E36" s="35"/>
      <c r="F36" s="35"/>
      <c r="G36" s="35"/>
      <c r="H36" s="35"/>
      <c r="I36" s="35"/>
    </row>
    <row r="37" spans="1:9" ht="12.75">
      <c r="A37" s="470">
        <f t="shared" si="3"/>
        <v>0</v>
      </c>
      <c r="B37" s="473"/>
      <c r="C37" s="474"/>
      <c r="D37" s="353"/>
      <c r="E37" s="353"/>
      <c r="F37" s="353"/>
      <c r="G37" s="353"/>
      <c r="H37" s="353"/>
      <c r="I37" s="353"/>
    </row>
    <row r="38" spans="1:9" ht="12.75">
      <c r="A38" s="89"/>
      <c r="B38" s="89"/>
      <c r="C38" s="90"/>
      <c r="D38" s="54"/>
      <c r="E38" s="54"/>
      <c r="F38" s="54"/>
      <c r="G38" s="54"/>
      <c r="H38" s="54"/>
      <c r="I38" s="54"/>
    </row>
    <row r="39" spans="1:9" ht="12.75">
      <c r="A39" s="89"/>
      <c r="B39" s="89"/>
      <c r="C39" s="90"/>
      <c r="D39" s="54"/>
      <c r="E39" s="54"/>
      <c r="F39" s="54"/>
      <c r="G39" s="54"/>
      <c r="H39" s="54"/>
      <c r="I39" s="54"/>
    </row>
    <row r="40" spans="1:9" ht="13.5">
      <c r="A40" s="637" t="s">
        <v>356</v>
      </c>
      <c r="B40" s="638"/>
      <c r="C40" s="639"/>
      <c r="D40" s="51">
        <f aca="true" t="shared" si="4" ref="D40:I40">+D11</f>
        <v>2019</v>
      </c>
      <c r="E40" s="51">
        <f t="shared" si="4"/>
        <v>2020</v>
      </c>
      <c r="F40" s="51">
        <f t="shared" si="4"/>
        <v>2021</v>
      </c>
      <c r="G40" s="51">
        <f t="shared" si="4"/>
        <v>2022</v>
      </c>
      <c r="H40" s="51">
        <f t="shared" si="4"/>
        <v>2023</v>
      </c>
      <c r="I40" s="51">
        <f t="shared" si="4"/>
        <v>2024</v>
      </c>
    </row>
    <row r="41" spans="1:9" ht="12.75">
      <c r="A41" s="567" t="str">
        <f>+A12</f>
        <v>Administração / Direção</v>
      </c>
      <c r="B41" s="568"/>
      <c r="C41" s="569"/>
      <c r="D41" s="38"/>
      <c r="E41" s="38"/>
      <c r="F41" s="38"/>
      <c r="G41" s="38"/>
      <c r="H41" s="38"/>
      <c r="I41" s="38"/>
    </row>
    <row r="42" spans="1:9" ht="12.75">
      <c r="A42" s="91" t="str">
        <f aca="true" t="shared" si="5" ref="A42:A51">+A13</f>
        <v>Administrativa / Financeira</v>
      </c>
      <c r="B42" s="83"/>
      <c r="C42" s="84"/>
      <c r="D42" s="38"/>
      <c r="E42" s="38"/>
      <c r="F42" s="38"/>
      <c r="G42" s="38"/>
      <c r="H42" s="38"/>
      <c r="I42" s="38"/>
    </row>
    <row r="43" spans="1:9" ht="12.75">
      <c r="A43" s="91" t="str">
        <f t="shared" si="5"/>
        <v>Comercial / Marketing</v>
      </c>
      <c r="B43" s="83"/>
      <c r="C43" s="84"/>
      <c r="D43" s="38"/>
      <c r="E43" s="38"/>
      <c r="F43" s="38"/>
      <c r="G43" s="38"/>
      <c r="H43" s="38"/>
      <c r="I43" s="38"/>
    </row>
    <row r="44" spans="1:9" ht="12.75">
      <c r="A44" s="91" t="str">
        <f t="shared" si="5"/>
        <v>Produção / Operacional</v>
      </c>
      <c r="B44" s="83"/>
      <c r="C44" s="84"/>
      <c r="D44" s="38"/>
      <c r="E44" s="38"/>
      <c r="F44" s="38"/>
      <c r="G44" s="38"/>
      <c r="H44" s="38"/>
      <c r="I44" s="38"/>
    </row>
    <row r="45" spans="1:9" ht="12.75">
      <c r="A45" s="91" t="str">
        <f t="shared" si="5"/>
        <v>Qualidade</v>
      </c>
      <c r="B45" s="83"/>
      <c r="C45" s="84"/>
      <c r="D45" s="38"/>
      <c r="E45" s="38"/>
      <c r="F45" s="38"/>
      <c r="G45" s="38"/>
      <c r="H45" s="38"/>
      <c r="I45" s="38"/>
    </row>
    <row r="46" spans="1:9" ht="12.75">
      <c r="A46" s="91" t="str">
        <f t="shared" si="5"/>
        <v>Manutenção</v>
      </c>
      <c r="B46" s="83"/>
      <c r="C46" s="84"/>
      <c r="D46" s="38"/>
      <c r="E46" s="38"/>
      <c r="F46" s="38"/>
      <c r="G46" s="38"/>
      <c r="H46" s="38"/>
      <c r="I46" s="38"/>
    </row>
    <row r="47" spans="1:9" ht="12.75">
      <c r="A47" s="91" t="str">
        <f t="shared" si="5"/>
        <v>Aprovisionamento</v>
      </c>
      <c r="B47" s="83"/>
      <c r="C47" s="84"/>
      <c r="D47" s="38"/>
      <c r="E47" s="38"/>
      <c r="F47" s="38"/>
      <c r="G47" s="38"/>
      <c r="H47" s="38"/>
      <c r="I47" s="38"/>
    </row>
    <row r="48" spans="1:9" ht="12.75">
      <c r="A48" s="91" t="str">
        <f t="shared" si="5"/>
        <v>Investigação e Desenvolvimento</v>
      </c>
      <c r="B48" s="83"/>
      <c r="C48" s="84"/>
      <c r="D48" s="38"/>
      <c r="E48" s="38"/>
      <c r="F48" s="38"/>
      <c r="G48" s="38"/>
      <c r="H48" s="38"/>
      <c r="I48" s="38"/>
    </row>
    <row r="49" spans="1:9" ht="12.75">
      <c r="A49" s="91" t="str">
        <f t="shared" si="5"/>
        <v>Outros</v>
      </c>
      <c r="B49" s="83"/>
      <c r="C49" s="84"/>
      <c r="D49" s="38"/>
      <c r="E49" s="38"/>
      <c r="F49" s="38"/>
      <c r="G49" s="38"/>
      <c r="H49" s="38"/>
      <c r="I49" s="38"/>
    </row>
    <row r="50" spans="1:9" ht="12.75">
      <c r="A50" s="91">
        <f t="shared" si="5"/>
        <v>0</v>
      </c>
      <c r="B50" s="94"/>
      <c r="C50" s="95"/>
      <c r="D50" s="39"/>
      <c r="E50" s="38"/>
      <c r="F50" s="38"/>
      <c r="G50" s="38"/>
      <c r="H50" s="38"/>
      <c r="I50" s="38"/>
    </row>
    <row r="51" spans="1:9" ht="12.75">
      <c r="A51" s="91">
        <f t="shared" si="5"/>
        <v>0</v>
      </c>
      <c r="B51" s="94"/>
      <c r="C51" s="95"/>
      <c r="D51" s="38"/>
      <c r="E51" s="38"/>
      <c r="F51" s="38"/>
      <c r="G51" s="38"/>
      <c r="H51" s="38"/>
      <c r="I51" s="38"/>
    </row>
    <row r="52" spans="1:9" ht="12.75">
      <c r="A52" s="96"/>
      <c r="B52" s="97"/>
      <c r="C52" s="98"/>
      <c r="D52" s="99"/>
      <c r="E52" s="99"/>
      <c r="F52" s="99"/>
      <c r="G52" s="99"/>
      <c r="H52" s="99"/>
      <c r="I52" s="99"/>
    </row>
    <row r="53" spans="1:9" ht="12.75">
      <c r="A53" s="96"/>
      <c r="B53" s="97"/>
      <c r="C53" s="98"/>
      <c r="D53" s="99"/>
      <c r="E53" s="99"/>
      <c r="F53" s="99"/>
      <c r="G53" s="99"/>
      <c r="H53" s="99"/>
      <c r="I53" s="99"/>
    </row>
    <row r="54" spans="1:9" ht="13.5">
      <c r="A54" s="637" t="s">
        <v>357</v>
      </c>
      <c r="B54" s="638"/>
      <c r="C54" s="639"/>
      <c r="D54" s="51">
        <f aca="true" t="shared" si="6" ref="D54:I54">+D40</f>
        <v>2019</v>
      </c>
      <c r="E54" s="51">
        <f t="shared" si="6"/>
        <v>2020</v>
      </c>
      <c r="F54" s="51">
        <f t="shared" si="6"/>
        <v>2021</v>
      </c>
      <c r="G54" s="51">
        <f t="shared" si="6"/>
        <v>2022</v>
      </c>
      <c r="H54" s="51">
        <f t="shared" si="6"/>
        <v>2023</v>
      </c>
      <c r="I54" s="51">
        <f t="shared" si="6"/>
        <v>2024</v>
      </c>
    </row>
    <row r="55" spans="1:9" ht="12.75">
      <c r="A55" s="91" t="str">
        <f>+A41</f>
        <v>Administração / Direção</v>
      </c>
      <c r="B55" s="83"/>
      <c r="C55" s="84"/>
      <c r="D55" s="100">
        <f aca="true" t="shared" si="7" ref="D55:D65">+D12*D27/12*D41*$D$7</f>
        <v>0</v>
      </c>
      <c r="E55" s="100">
        <f aca="true" t="shared" si="8" ref="E55:E65">+E12*E27/12*E41*$E$7</f>
        <v>0</v>
      </c>
      <c r="F55" s="100">
        <f aca="true" t="shared" si="9" ref="F55:F65">+F12*F27/12*F41*$F$7</f>
        <v>0</v>
      </c>
      <c r="G55" s="100">
        <f aca="true" t="shared" si="10" ref="G55:G65">+G12*G27/12*G41*$G$7</f>
        <v>0</v>
      </c>
      <c r="H55" s="100">
        <f aca="true" t="shared" si="11" ref="H55:H65">+H12*H27/12*H41*$H$7</f>
        <v>0</v>
      </c>
      <c r="I55" s="100">
        <f aca="true" t="shared" si="12" ref="I55:I65">+I12*I27/12*I41*$I$7</f>
        <v>0</v>
      </c>
    </row>
    <row r="56" spans="1:9" ht="12.75">
      <c r="A56" s="91" t="str">
        <f aca="true" t="shared" si="13" ref="A56:A65">+A42</f>
        <v>Administrativa / Financeira</v>
      </c>
      <c r="B56" s="83"/>
      <c r="C56" s="84"/>
      <c r="D56" s="100">
        <f t="shared" si="7"/>
        <v>0</v>
      </c>
      <c r="E56" s="100">
        <f t="shared" si="8"/>
        <v>0</v>
      </c>
      <c r="F56" s="100">
        <f t="shared" si="9"/>
        <v>0</v>
      </c>
      <c r="G56" s="100">
        <f t="shared" si="10"/>
        <v>0</v>
      </c>
      <c r="H56" s="100">
        <f t="shared" si="11"/>
        <v>0</v>
      </c>
      <c r="I56" s="100">
        <f t="shared" si="12"/>
        <v>0</v>
      </c>
    </row>
    <row r="57" spans="1:9" ht="12.75">
      <c r="A57" s="91" t="str">
        <f t="shared" si="13"/>
        <v>Comercial / Marketing</v>
      </c>
      <c r="B57" s="83"/>
      <c r="C57" s="84"/>
      <c r="D57" s="100">
        <f t="shared" si="7"/>
        <v>0</v>
      </c>
      <c r="E57" s="100">
        <f t="shared" si="8"/>
        <v>0</v>
      </c>
      <c r="F57" s="100">
        <f t="shared" si="9"/>
        <v>0</v>
      </c>
      <c r="G57" s="100">
        <f t="shared" si="10"/>
        <v>0</v>
      </c>
      <c r="H57" s="100">
        <f t="shared" si="11"/>
        <v>0</v>
      </c>
      <c r="I57" s="100">
        <f t="shared" si="12"/>
        <v>0</v>
      </c>
    </row>
    <row r="58" spans="1:9" ht="12.75">
      <c r="A58" s="91" t="str">
        <f t="shared" si="13"/>
        <v>Produção / Operacional</v>
      </c>
      <c r="B58" s="83"/>
      <c r="C58" s="84"/>
      <c r="D58" s="100">
        <f t="shared" si="7"/>
        <v>0</v>
      </c>
      <c r="E58" s="100">
        <f t="shared" si="8"/>
        <v>0</v>
      </c>
      <c r="F58" s="100">
        <f t="shared" si="9"/>
        <v>0</v>
      </c>
      <c r="G58" s="100">
        <f t="shared" si="10"/>
        <v>0</v>
      </c>
      <c r="H58" s="100">
        <f t="shared" si="11"/>
        <v>0</v>
      </c>
      <c r="I58" s="100">
        <f t="shared" si="12"/>
        <v>0</v>
      </c>
    </row>
    <row r="59" spans="1:9" ht="12.75">
      <c r="A59" s="91" t="str">
        <f t="shared" si="13"/>
        <v>Qualidade</v>
      </c>
      <c r="B59" s="83"/>
      <c r="C59" s="84"/>
      <c r="D59" s="100">
        <f t="shared" si="7"/>
        <v>0</v>
      </c>
      <c r="E59" s="100">
        <f t="shared" si="8"/>
        <v>0</v>
      </c>
      <c r="F59" s="100">
        <f t="shared" si="9"/>
        <v>0</v>
      </c>
      <c r="G59" s="100">
        <f t="shared" si="10"/>
        <v>0</v>
      </c>
      <c r="H59" s="100">
        <f t="shared" si="11"/>
        <v>0</v>
      </c>
      <c r="I59" s="100">
        <f t="shared" si="12"/>
        <v>0</v>
      </c>
    </row>
    <row r="60" spans="1:9" ht="12.75">
      <c r="A60" s="91" t="str">
        <f t="shared" si="13"/>
        <v>Manutenção</v>
      </c>
      <c r="B60" s="83"/>
      <c r="C60" s="84"/>
      <c r="D60" s="100">
        <f t="shared" si="7"/>
        <v>0</v>
      </c>
      <c r="E60" s="100">
        <f t="shared" si="8"/>
        <v>0</v>
      </c>
      <c r="F60" s="100">
        <f t="shared" si="9"/>
        <v>0</v>
      </c>
      <c r="G60" s="100">
        <f t="shared" si="10"/>
        <v>0</v>
      </c>
      <c r="H60" s="100">
        <f t="shared" si="11"/>
        <v>0</v>
      </c>
      <c r="I60" s="100">
        <f t="shared" si="12"/>
        <v>0</v>
      </c>
    </row>
    <row r="61" spans="1:9" ht="12.75">
      <c r="A61" s="91" t="str">
        <f t="shared" si="13"/>
        <v>Aprovisionamento</v>
      </c>
      <c r="B61" s="83"/>
      <c r="C61" s="84"/>
      <c r="D61" s="100">
        <f t="shared" si="7"/>
        <v>0</v>
      </c>
      <c r="E61" s="100">
        <f t="shared" si="8"/>
        <v>0</v>
      </c>
      <c r="F61" s="100">
        <f t="shared" si="9"/>
        <v>0</v>
      </c>
      <c r="G61" s="100">
        <f t="shared" si="10"/>
        <v>0</v>
      </c>
      <c r="H61" s="100">
        <f t="shared" si="11"/>
        <v>0</v>
      </c>
      <c r="I61" s="100">
        <f t="shared" si="12"/>
        <v>0</v>
      </c>
    </row>
    <row r="62" spans="1:9" ht="12.75">
      <c r="A62" s="91" t="str">
        <f t="shared" si="13"/>
        <v>Investigação e Desenvolvimento</v>
      </c>
      <c r="B62" s="83"/>
      <c r="C62" s="84"/>
      <c r="D62" s="100">
        <f t="shared" si="7"/>
        <v>0</v>
      </c>
      <c r="E62" s="100">
        <f t="shared" si="8"/>
        <v>0</v>
      </c>
      <c r="F62" s="100">
        <f t="shared" si="9"/>
        <v>0</v>
      </c>
      <c r="G62" s="100">
        <f t="shared" si="10"/>
        <v>0</v>
      </c>
      <c r="H62" s="100">
        <f t="shared" si="11"/>
        <v>0</v>
      </c>
      <c r="I62" s="100">
        <f t="shared" si="12"/>
        <v>0</v>
      </c>
    </row>
    <row r="63" spans="1:9" ht="12.75">
      <c r="A63" s="91" t="str">
        <f t="shared" si="13"/>
        <v>Outros</v>
      </c>
      <c r="B63" s="83"/>
      <c r="C63" s="84"/>
      <c r="D63" s="100">
        <f t="shared" si="7"/>
        <v>0</v>
      </c>
      <c r="E63" s="100">
        <f t="shared" si="8"/>
        <v>0</v>
      </c>
      <c r="F63" s="100">
        <f t="shared" si="9"/>
        <v>0</v>
      </c>
      <c r="G63" s="100">
        <f t="shared" si="10"/>
        <v>0</v>
      </c>
      <c r="H63" s="100">
        <f t="shared" si="11"/>
        <v>0</v>
      </c>
      <c r="I63" s="100">
        <f t="shared" si="12"/>
        <v>0</v>
      </c>
    </row>
    <row r="64" spans="1:9" ht="12.75">
      <c r="A64" s="91">
        <f t="shared" si="13"/>
        <v>0</v>
      </c>
      <c r="B64" s="94"/>
      <c r="C64" s="95"/>
      <c r="D64" s="100">
        <f t="shared" si="7"/>
        <v>0</v>
      </c>
      <c r="E64" s="100">
        <f t="shared" si="8"/>
        <v>0</v>
      </c>
      <c r="F64" s="100">
        <f t="shared" si="9"/>
        <v>0</v>
      </c>
      <c r="G64" s="100">
        <f t="shared" si="10"/>
        <v>0</v>
      </c>
      <c r="H64" s="100">
        <f t="shared" si="11"/>
        <v>0</v>
      </c>
      <c r="I64" s="100">
        <f t="shared" si="12"/>
        <v>0</v>
      </c>
    </row>
    <row r="65" spans="1:9" ht="12.75">
      <c r="A65" s="91">
        <f t="shared" si="13"/>
        <v>0</v>
      </c>
      <c r="B65" s="94"/>
      <c r="C65" s="95"/>
      <c r="D65" s="100">
        <f t="shared" si="7"/>
        <v>0</v>
      </c>
      <c r="E65" s="100">
        <f t="shared" si="8"/>
        <v>0</v>
      </c>
      <c r="F65" s="100">
        <f t="shared" si="9"/>
        <v>0</v>
      </c>
      <c r="G65" s="100">
        <f t="shared" si="10"/>
        <v>0</v>
      </c>
      <c r="H65" s="100">
        <f t="shared" si="11"/>
        <v>0</v>
      </c>
      <c r="I65" s="100">
        <f t="shared" si="12"/>
        <v>0</v>
      </c>
    </row>
    <row r="66" spans="1:9" ht="13.5" thickBot="1">
      <c r="A66" s="629" t="s">
        <v>31</v>
      </c>
      <c r="B66" s="630"/>
      <c r="C66" s="631"/>
      <c r="D66" s="101">
        <f aca="true" t="shared" si="14" ref="D66:I66">+SUM(D55:D65)</f>
        <v>0</v>
      </c>
      <c r="E66" s="101">
        <f t="shared" si="14"/>
        <v>0</v>
      </c>
      <c r="F66" s="101">
        <f t="shared" si="14"/>
        <v>0</v>
      </c>
      <c r="G66" s="101">
        <f t="shared" si="14"/>
        <v>0</v>
      </c>
      <c r="H66" s="101">
        <f t="shared" si="14"/>
        <v>0</v>
      </c>
      <c r="I66" s="101">
        <f t="shared" si="14"/>
        <v>0</v>
      </c>
    </row>
    <row r="67" spans="1:9" ht="13.5" thickTop="1">
      <c r="A67" s="96"/>
      <c r="B67" s="97"/>
      <c r="C67" s="98"/>
      <c r="D67" s="99"/>
      <c r="E67" s="99"/>
      <c r="F67" s="99"/>
      <c r="G67" s="99"/>
      <c r="H67" s="99"/>
      <c r="I67" s="99"/>
    </row>
    <row r="68" spans="1:9" ht="12.75">
      <c r="A68" s="54"/>
      <c r="B68" s="54"/>
      <c r="C68" s="102"/>
      <c r="D68" s="103"/>
      <c r="E68" s="103"/>
      <c r="F68" s="103"/>
      <c r="G68" s="103"/>
      <c r="H68" s="103"/>
      <c r="I68" s="103"/>
    </row>
    <row r="69" spans="1:9" ht="13.5">
      <c r="A69" s="637" t="s">
        <v>170</v>
      </c>
      <c r="B69" s="638"/>
      <c r="C69" s="639"/>
      <c r="D69" s="51">
        <f aca="true" t="shared" si="15" ref="D69:I69">+D6</f>
        <v>2019</v>
      </c>
      <c r="E69" s="51">
        <f t="shared" si="15"/>
        <v>2020</v>
      </c>
      <c r="F69" s="51">
        <f t="shared" si="15"/>
        <v>2021</v>
      </c>
      <c r="G69" s="51">
        <f t="shared" si="15"/>
        <v>2022</v>
      </c>
      <c r="H69" s="51">
        <f t="shared" si="15"/>
        <v>2023</v>
      </c>
      <c r="I69" s="51">
        <f t="shared" si="15"/>
        <v>2024</v>
      </c>
    </row>
    <row r="70" spans="1:9" ht="12.75">
      <c r="A70" s="104" t="s">
        <v>54</v>
      </c>
      <c r="B70" s="105"/>
      <c r="C70" s="71"/>
      <c r="D70" s="71"/>
      <c r="E70" s="71"/>
      <c r="F70" s="71"/>
      <c r="G70" s="71"/>
      <c r="H70" s="71"/>
      <c r="I70" s="71"/>
    </row>
    <row r="71" spans="1:9" ht="12.75">
      <c r="A71" s="55" t="s">
        <v>169</v>
      </c>
      <c r="B71" s="106"/>
      <c r="C71" s="107">
        <f>+Pressupostos!B24</f>
        <v>0.2375</v>
      </c>
      <c r="D71" s="108">
        <f aca="true" t="shared" si="16" ref="D71:I71">$C$71*(D55+D77)</f>
        <v>0</v>
      </c>
      <c r="E71" s="108">
        <f t="shared" si="16"/>
        <v>0</v>
      </c>
      <c r="F71" s="108">
        <f t="shared" si="16"/>
        <v>0</v>
      </c>
      <c r="G71" s="108">
        <f t="shared" si="16"/>
        <v>0</v>
      </c>
      <c r="H71" s="108">
        <f t="shared" si="16"/>
        <v>0</v>
      </c>
      <c r="I71" s="108">
        <f t="shared" si="16"/>
        <v>0</v>
      </c>
    </row>
    <row r="72" spans="1:9" ht="12.75">
      <c r="A72" s="55" t="s">
        <v>26</v>
      </c>
      <c r="B72" s="106"/>
      <c r="C72" s="107">
        <f>+Pressupostos!B25</f>
        <v>0.2375</v>
      </c>
      <c r="D72" s="108">
        <f aca="true" t="shared" si="17" ref="D72:I72">+$C$72*(SUM(D56:D65)+D78)</f>
        <v>0</v>
      </c>
      <c r="E72" s="108">
        <f t="shared" si="17"/>
        <v>0</v>
      </c>
      <c r="F72" s="108">
        <f t="shared" si="17"/>
        <v>0</v>
      </c>
      <c r="G72" s="108">
        <f t="shared" si="17"/>
        <v>0</v>
      </c>
      <c r="H72" s="108">
        <f t="shared" si="17"/>
        <v>0</v>
      </c>
      <c r="I72" s="108">
        <f t="shared" si="17"/>
        <v>0</v>
      </c>
    </row>
    <row r="73" spans="1:9" ht="12.75">
      <c r="A73" s="109" t="s">
        <v>16</v>
      </c>
      <c r="B73" s="110"/>
      <c r="C73" s="386">
        <v>0.01</v>
      </c>
      <c r="D73" s="111">
        <f aca="true" t="shared" si="18" ref="D73:I73">+$C$73*D66</f>
        <v>0</v>
      </c>
      <c r="E73" s="111">
        <f t="shared" si="18"/>
        <v>0</v>
      </c>
      <c r="F73" s="111">
        <f t="shared" si="18"/>
        <v>0</v>
      </c>
      <c r="G73" s="111">
        <f t="shared" si="18"/>
        <v>0</v>
      </c>
      <c r="H73" s="111">
        <f t="shared" si="18"/>
        <v>0</v>
      </c>
      <c r="I73" s="111">
        <f t="shared" si="18"/>
        <v>0</v>
      </c>
    </row>
    <row r="74" spans="1:9" ht="12.75">
      <c r="A74" s="109" t="s">
        <v>358</v>
      </c>
      <c r="B74" s="110"/>
      <c r="C74" s="7">
        <f>4.77*22</f>
        <v>104.94</v>
      </c>
      <c r="D74" s="111">
        <f aca="true" t="shared" si="19" ref="D74:I74">+$C$74*D75*D23</f>
        <v>0</v>
      </c>
      <c r="E74" s="111">
        <f t="shared" si="19"/>
        <v>0</v>
      </c>
      <c r="F74" s="111">
        <f t="shared" si="19"/>
        <v>0</v>
      </c>
      <c r="G74" s="111">
        <f t="shared" si="19"/>
        <v>0</v>
      </c>
      <c r="H74" s="111">
        <f t="shared" si="19"/>
        <v>0</v>
      </c>
      <c r="I74" s="111">
        <f t="shared" si="19"/>
        <v>0</v>
      </c>
    </row>
    <row r="75" spans="1:9" ht="12.75">
      <c r="A75" s="352" t="s">
        <v>359</v>
      </c>
      <c r="B75" s="127"/>
      <c r="C75" s="71"/>
      <c r="D75" s="558">
        <f aca="true" t="shared" si="20" ref="D75:I75">IF(D9&lt;12,D9/12*11,11)</f>
        <v>11</v>
      </c>
      <c r="E75" s="558">
        <f t="shared" si="20"/>
        <v>11</v>
      </c>
      <c r="F75" s="558">
        <f t="shared" si="20"/>
        <v>11</v>
      </c>
      <c r="G75" s="558">
        <f t="shared" si="20"/>
        <v>11</v>
      </c>
      <c r="H75" s="558">
        <f t="shared" si="20"/>
        <v>11</v>
      </c>
      <c r="I75" s="558">
        <f t="shared" si="20"/>
        <v>11</v>
      </c>
    </row>
    <row r="76" spans="1:9" ht="12.75">
      <c r="A76" s="109" t="s">
        <v>177</v>
      </c>
      <c r="B76" s="127"/>
      <c r="C76" s="71"/>
      <c r="D76" s="108"/>
      <c r="E76" s="108"/>
      <c r="F76" s="108"/>
      <c r="G76" s="108"/>
      <c r="H76" s="108"/>
      <c r="I76" s="108"/>
    </row>
    <row r="77" spans="1:9" ht="12.75">
      <c r="A77" s="55" t="s">
        <v>482</v>
      </c>
      <c r="B77" s="106"/>
      <c r="C77" s="36"/>
      <c r="D77" s="250"/>
      <c r="E77" s="250"/>
      <c r="F77" s="250"/>
      <c r="G77" s="250"/>
      <c r="H77" s="250"/>
      <c r="I77" s="250"/>
    </row>
    <row r="78" spans="1:9" ht="12.75">
      <c r="A78" s="55" t="s">
        <v>26</v>
      </c>
      <c r="B78" s="106"/>
      <c r="C78" s="36"/>
      <c r="D78" s="250"/>
      <c r="E78" s="250"/>
      <c r="F78" s="250"/>
      <c r="G78" s="250"/>
      <c r="H78" s="250"/>
      <c r="I78" s="250"/>
    </row>
    <row r="79" spans="1:9" ht="12.75">
      <c r="A79" s="112" t="s">
        <v>30</v>
      </c>
      <c r="B79" s="112"/>
      <c r="C79" s="113"/>
      <c r="D79" s="30"/>
      <c r="E79" s="30"/>
      <c r="F79" s="30"/>
      <c r="G79" s="30"/>
      <c r="H79" s="30"/>
      <c r="I79" s="30"/>
    </row>
    <row r="80" spans="1:9" ht="12.75">
      <c r="A80" s="114" t="s">
        <v>360</v>
      </c>
      <c r="B80" s="95"/>
      <c r="C80" s="115"/>
      <c r="D80" s="32"/>
      <c r="E80" s="32"/>
      <c r="F80" s="32"/>
      <c r="G80" s="32"/>
      <c r="H80" s="32"/>
      <c r="I80" s="32"/>
    </row>
    <row r="81" spans="1:9" ht="14.25" customHeight="1" thickBot="1">
      <c r="A81" s="634" t="s">
        <v>171</v>
      </c>
      <c r="B81" s="635"/>
      <c r="C81" s="636"/>
      <c r="D81" s="34">
        <f aca="true" t="shared" si="21" ref="D81:I81">+D71+D72+D73+D74+D77+D78+D79+D80</f>
        <v>0</v>
      </c>
      <c r="E81" s="34">
        <f t="shared" si="21"/>
        <v>0</v>
      </c>
      <c r="F81" s="34">
        <f t="shared" si="21"/>
        <v>0</v>
      </c>
      <c r="G81" s="34">
        <f t="shared" si="21"/>
        <v>0</v>
      </c>
      <c r="H81" s="34">
        <f t="shared" si="21"/>
        <v>0</v>
      </c>
      <c r="I81" s="34">
        <f t="shared" si="21"/>
        <v>0</v>
      </c>
    </row>
    <row r="82" spans="1:9" ht="13.5" thickTop="1">
      <c r="A82" s="97"/>
      <c r="B82" s="97"/>
      <c r="C82" s="116"/>
      <c r="D82" s="54"/>
      <c r="E82" s="54"/>
      <c r="F82" s="54"/>
      <c r="G82" s="54"/>
      <c r="H82" s="54"/>
      <c r="I82" s="54"/>
    </row>
    <row r="83" spans="1:9" ht="13.5" thickBot="1">
      <c r="A83" s="634" t="s">
        <v>172</v>
      </c>
      <c r="B83" s="635"/>
      <c r="C83" s="636"/>
      <c r="D83" s="34">
        <f aca="true" t="shared" si="22" ref="D83:I83">D66+D81</f>
        <v>0</v>
      </c>
      <c r="E83" s="34">
        <f t="shared" si="22"/>
        <v>0</v>
      </c>
      <c r="F83" s="34">
        <f t="shared" si="22"/>
        <v>0</v>
      </c>
      <c r="G83" s="34">
        <f t="shared" si="22"/>
        <v>0</v>
      </c>
      <c r="H83" s="34">
        <f t="shared" si="22"/>
        <v>0</v>
      </c>
      <c r="I83" s="34">
        <f t="shared" si="22"/>
        <v>0</v>
      </c>
    </row>
    <row r="84" spans="1:9" ht="13.5" thickTop="1">
      <c r="A84" s="97"/>
      <c r="B84" s="97"/>
      <c r="C84" s="116"/>
      <c r="D84" s="54"/>
      <c r="E84" s="54"/>
      <c r="F84" s="54"/>
      <c r="G84" s="54"/>
      <c r="H84" s="54"/>
      <c r="I84" s="54"/>
    </row>
    <row r="85" spans="1:9" ht="12.75">
      <c r="A85" s="97"/>
      <c r="B85" s="97"/>
      <c r="C85" s="116"/>
      <c r="D85" s="54"/>
      <c r="E85" s="54"/>
      <c r="F85" s="54"/>
      <c r="G85" s="54"/>
      <c r="H85" s="54"/>
      <c r="I85" s="54"/>
    </row>
    <row r="86" spans="1:9" ht="12.75">
      <c r="A86" s="640" t="s">
        <v>55</v>
      </c>
      <c r="B86" s="641"/>
      <c r="C86" s="642"/>
      <c r="D86" s="51">
        <f aca="true" t="shared" si="23" ref="D86:I86">+D6</f>
        <v>2019</v>
      </c>
      <c r="E86" s="51">
        <f t="shared" si="23"/>
        <v>2020</v>
      </c>
      <c r="F86" s="51">
        <f t="shared" si="23"/>
        <v>2021</v>
      </c>
      <c r="G86" s="51">
        <f t="shared" si="23"/>
        <v>2022</v>
      </c>
      <c r="H86" s="51">
        <f t="shared" si="23"/>
        <v>2023</v>
      </c>
      <c r="I86" s="51">
        <f t="shared" si="23"/>
        <v>2024</v>
      </c>
    </row>
    <row r="87" spans="1:9" ht="12.75">
      <c r="A87" s="117" t="s">
        <v>168</v>
      </c>
      <c r="B87" s="84"/>
      <c r="C87" s="115"/>
      <c r="D87" s="87"/>
      <c r="E87" s="87"/>
      <c r="F87" s="87"/>
      <c r="G87" s="87"/>
      <c r="H87" s="87"/>
      <c r="I87" s="87"/>
    </row>
    <row r="88" spans="1:9" ht="12.75">
      <c r="A88" s="55" t="s">
        <v>169</v>
      </c>
      <c r="B88" s="118"/>
      <c r="C88" s="115"/>
      <c r="D88" s="108">
        <f aca="true" t="shared" si="24" ref="D88:I88">D55+D77</f>
        <v>0</v>
      </c>
      <c r="E88" s="108">
        <f t="shared" si="24"/>
        <v>0</v>
      </c>
      <c r="F88" s="108">
        <f t="shared" si="24"/>
        <v>0</v>
      </c>
      <c r="G88" s="108">
        <f t="shared" si="24"/>
        <v>0</v>
      </c>
      <c r="H88" s="108">
        <f t="shared" si="24"/>
        <v>0</v>
      </c>
      <c r="I88" s="108">
        <f t="shared" si="24"/>
        <v>0</v>
      </c>
    </row>
    <row r="89" spans="1:9" ht="12.75">
      <c r="A89" s="55" t="s">
        <v>26</v>
      </c>
      <c r="B89" s="118"/>
      <c r="C89" s="115"/>
      <c r="D89" s="108">
        <f aca="true" t="shared" si="25" ref="D89:I89">+SUM(D56:D65)+D78</f>
        <v>0</v>
      </c>
      <c r="E89" s="108">
        <f t="shared" si="25"/>
        <v>0</v>
      </c>
      <c r="F89" s="108">
        <f t="shared" si="25"/>
        <v>0</v>
      </c>
      <c r="G89" s="108">
        <f t="shared" si="25"/>
        <v>0</v>
      </c>
      <c r="H89" s="108">
        <f t="shared" si="25"/>
        <v>0</v>
      </c>
      <c r="I89" s="108">
        <f t="shared" si="25"/>
        <v>0</v>
      </c>
    </row>
    <row r="90" spans="1:9" ht="12.75">
      <c r="A90" s="117" t="s">
        <v>361</v>
      </c>
      <c r="B90" s="84"/>
      <c r="C90" s="115"/>
      <c r="D90" s="108">
        <f aca="true" t="shared" si="26" ref="D90:I90">+D71+D72</f>
        <v>0</v>
      </c>
      <c r="E90" s="108">
        <f t="shared" si="26"/>
        <v>0</v>
      </c>
      <c r="F90" s="108">
        <f t="shared" si="26"/>
        <v>0</v>
      </c>
      <c r="G90" s="108">
        <f t="shared" si="26"/>
        <v>0</v>
      </c>
      <c r="H90" s="108">
        <f t="shared" si="26"/>
        <v>0</v>
      </c>
      <c r="I90" s="108">
        <f t="shared" si="26"/>
        <v>0</v>
      </c>
    </row>
    <row r="91" spans="1:9" ht="12.75">
      <c r="A91" s="109" t="s">
        <v>362</v>
      </c>
      <c r="B91" s="84"/>
      <c r="C91" s="115"/>
      <c r="D91" s="108">
        <f aca="true" t="shared" si="27" ref="D91:I91">+D73</f>
        <v>0</v>
      </c>
      <c r="E91" s="108">
        <f t="shared" si="27"/>
        <v>0</v>
      </c>
      <c r="F91" s="108">
        <f t="shared" si="27"/>
        <v>0</v>
      </c>
      <c r="G91" s="108">
        <f t="shared" si="27"/>
        <v>0</v>
      </c>
      <c r="H91" s="108">
        <f t="shared" si="27"/>
        <v>0</v>
      </c>
      <c r="I91" s="108">
        <f t="shared" si="27"/>
        <v>0</v>
      </c>
    </row>
    <row r="92" spans="1:9" ht="12.75">
      <c r="A92" s="117" t="s">
        <v>363</v>
      </c>
      <c r="B92" s="84"/>
      <c r="C92" s="115"/>
      <c r="D92" s="108">
        <f aca="true" t="shared" si="28" ref="D92:I92">+D74</f>
        <v>0</v>
      </c>
      <c r="E92" s="108">
        <f t="shared" si="28"/>
        <v>0</v>
      </c>
      <c r="F92" s="108">
        <f t="shared" si="28"/>
        <v>0</v>
      </c>
      <c r="G92" s="108">
        <f t="shared" si="28"/>
        <v>0</v>
      </c>
      <c r="H92" s="108">
        <f t="shared" si="28"/>
        <v>0</v>
      </c>
      <c r="I92" s="108">
        <f t="shared" si="28"/>
        <v>0</v>
      </c>
    </row>
    <row r="93" spans="1:9" ht="12.75">
      <c r="A93" s="114" t="s">
        <v>364</v>
      </c>
      <c r="B93" s="95"/>
      <c r="C93" s="119"/>
      <c r="D93" s="296">
        <f aca="true" t="shared" si="29" ref="D93:I93">+D79+D80</f>
        <v>0</v>
      </c>
      <c r="E93" s="296">
        <f t="shared" si="29"/>
        <v>0</v>
      </c>
      <c r="F93" s="296">
        <f t="shared" si="29"/>
        <v>0</v>
      </c>
      <c r="G93" s="296">
        <f t="shared" si="29"/>
        <v>0</v>
      </c>
      <c r="H93" s="296">
        <f t="shared" si="29"/>
        <v>0</v>
      </c>
      <c r="I93" s="296">
        <f t="shared" si="29"/>
        <v>0</v>
      </c>
    </row>
    <row r="94" spans="1:9" ht="13.5" thickBot="1">
      <c r="A94" s="634" t="s">
        <v>172</v>
      </c>
      <c r="B94" s="635"/>
      <c r="C94" s="636"/>
      <c r="D94" s="34">
        <f aca="true" t="shared" si="30" ref="D94:I94">SUM(D88:D93)</f>
        <v>0</v>
      </c>
      <c r="E94" s="34">
        <f t="shared" si="30"/>
        <v>0</v>
      </c>
      <c r="F94" s="34">
        <f t="shared" si="30"/>
        <v>0</v>
      </c>
      <c r="G94" s="34">
        <f t="shared" si="30"/>
        <v>0</v>
      </c>
      <c r="H94" s="34">
        <f t="shared" si="30"/>
        <v>0</v>
      </c>
      <c r="I94" s="34">
        <f t="shared" si="30"/>
        <v>0</v>
      </c>
    </row>
    <row r="95" spans="1:9" ht="13.5" thickTop="1">
      <c r="A95" s="120"/>
      <c r="B95" s="120"/>
      <c r="C95" s="120"/>
      <c r="D95" s="103"/>
      <c r="E95" s="103"/>
      <c r="F95" s="103"/>
      <c r="G95" s="103"/>
      <c r="H95" s="103"/>
      <c r="I95" s="103"/>
    </row>
    <row r="96" spans="1:9" ht="12.75">
      <c r="A96" s="97"/>
      <c r="B96" s="97"/>
      <c r="C96" s="54"/>
      <c r="D96" s="54"/>
      <c r="E96" s="54"/>
      <c r="F96" s="54"/>
      <c r="G96" s="54"/>
      <c r="H96" s="54"/>
      <c r="I96" s="54"/>
    </row>
    <row r="97" spans="1:9" ht="13.5">
      <c r="A97" s="637" t="s">
        <v>97</v>
      </c>
      <c r="B97" s="638"/>
      <c r="C97" s="639"/>
      <c r="D97" s="51">
        <f aca="true" t="shared" si="31" ref="D97:I97">+D86</f>
        <v>2019</v>
      </c>
      <c r="E97" s="51">
        <f t="shared" si="31"/>
        <v>2020</v>
      </c>
      <c r="F97" s="51">
        <f t="shared" si="31"/>
        <v>2021</v>
      </c>
      <c r="G97" s="51">
        <f t="shared" si="31"/>
        <v>2022</v>
      </c>
      <c r="H97" s="51">
        <f t="shared" si="31"/>
        <v>2023</v>
      </c>
      <c r="I97" s="51">
        <f t="shared" si="31"/>
        <v>2024</v>
      </c>
    </row>
    <row r="98" spans="1:9" ht="12.75">
      <c r="A98" s="117" t="s">
        <v>95</v>
      </c>
      <c r="B98" s="84"/>
      <c r="C98" s="107"/>
      <c r="D98" s="108"/>
      <c r="E98" s="108"/>
      <c r="F98" s="108"/>
      <c r="G98" s="108"/>
      <c r="H98" s="108"/>
      <c r="I98" s="108"/>
    </row>
    <row r="99" spans="1:9" ht="12.75">
      <c r="A99" s="55" t="s">
        <v>365</v>
      </c>
      <c r="B99" s="106"/>
      <c r="C99" s="107">
        <f>+Pressupostos!B26</f>
        <v>0.11</v>
      </c>
      <c r="D99" s="108">
        <f aca="true" t="shared" si="32" ref="D99:I99">+$C$99*D88</f>
        <v>0</v>
      </c>
      <c r="E99" s="108">
        <f t="shared" si="32"/>
        <v>0</v>
      </c>
      <c r="F99" s="108">
        <f t="shared" si="32"/>
        <v>0</v>
      </c>
      <c r="G99" s="108">
        <f t="shared" si="32"/>
        <v>0</v>
      </c>
      <c r="H99" s="108">
        <f t="shared" si="32"/>
        <v>0</v>
      </c>
      <c r="I99" s="108">
        <f t="shared" si="32"/>
        <v>0</v>
      </c>
    </row>
    <row r="100" spans="1:9" ht="12.75">
      <c r="A100" s="55" t="s">
        <v>94</v>
      </c>
      <c r="B100" s="106"/>
      <c r="C100" s="107">
        <f>+Pressupostos!B27</f>
        <v>0.11</v>
      </c>
      <c r="D100" s="108">
        <f aca="true" t="shared" si="33" ref="D100:I100">+$C$100*D89</f>
        <v>0</v>
      </c>
      <c r="E100" s="108">
        <f t="shared" si="33"/>
        <v>0</v>
      </c>
      <c r="F100" s="108">
        <f t="shared" si="33"/>
        <v>0</v>
      </c>
      <c r="G100" s="108">
        <f t="shared" si="33"/>
        <v>0</v>
      </c>
      <c r="H100" s="108">
        <f t="shared" si="33"/>
        <v>0</v>
      </c>
      <c r="I100" s="108">
        <f t="shared" si="33"/>
        <v>0</v>
      </c>
    </row>
    <row r="101" spans="1:9" ht="12.75">
      <c r="A101" s="117" t="s">
        <v>96</v>
      </c>
      <c r="B101" s="84"/>
      <c r="C101" s="107">
        <f>+Pressupostos!B28</f>
        <v>0.15</v>
      </c>
      <c r="D101" s="108">
        <f aca="true" t="shared" si="34" ref="D101:I101">+$C$101*(D88+D89)</f>
        <v>0</v>
      </c>
      <c r="E101" s="108">
        <f t="shared" si="34"/>
        <v>0</v>
      </c>
      <c r="F101" s="108">
        <f t="shared" si="34"/>
        <v>0</v>
      </c>
      <c r="G101" s="108">
        <f t="shared" si="34"/>
        <v>0</v>
      </c>
      <c r="H101" s="108">
        <f t="shared" si="34"/>
        <v>0</v>
      </c>
      <c r="I101" s="108">
        <f t="shared" si="34"/>
        <v>0</v>
      </c>
    </row>
    <row r="102" spans="1:9" ht="13.5" thickBot="1">
      <c r="A102" s="634" t="s">
        <v>98</v>
      </c>
      <c r="B102" s="635"/>
      <c r="C102" s="636"/>
      <c r="D102" s="34">
        <f aca="true" t="shared" si="35" ref="D102:I102">SUM(D99:D101)</f>
        <v>0</v>
      </c>
      <c r="E102" s="34">
        <f t="shared" si="35"/>
        <v>0</v>
      </c>
      <c r="F102" s="34">
        <f t="shared" si="35"/>
        <v>0</v>
      </c>
      <c r="G102" s="34">
        <f t="shared" si="35"/>
        <v>0</v>
      </c>
      <c r="H102" s="34">
        <f t="shared" si="35"/>
        <v>0</v>
      </c>
      <c r="I102" s="34">
        <f t="shared" si="35"/>
        <v>0</v>
      </c>
    </row>
    <row r="103" spans="1:9" ht="13.5" thickTop="1">
      <c r="A103" s="69"/>
      <c r="B103" s="69"/>
      <c r="C103" s="121"/>
      <c r="D103" s="122"/>
      <c r="E103" s="122"/>
      <c r="F103" s="122"/>
      <c r="G103" s="122"/>
      <c r="H103" s="122"/>
      <c r="I103" s="122"/>
    </row>
    <row r="104" spans="1:9" ht="12.75">
      <c r="A104" s="69"/>
      <c r="B104" s="69"/>
      <c r="C104" s="121"/>
      <c r="D104" s="69"/>
      <c r="E104" s="69"/>
      <c r="F104" s="69"/>
      <c r="G104" s="69"/>
      <c r="H104" s="69"/>
      <c r="I104" s="69"/>
    </row>
    <row r="105" spans="1:9" ht="12.75">
      <c r="A105" s="123"/>
      <c r="B105" s="123"/>
      <c r="C105" s="121"/>
      <c r="D105" s="122"/>
      <c r="E105" s="122"/>
      <c r="F105" s="122"/>
      <c r="G105" s="122"/>
      <c r="H105" s="122"/>
      <c r="I105" s="122"/>
    </row>
  </sheetData>
  <sheetProtection password="8318" sheet="1"/>
  <mergeCells count="14">
    <mergeCell ref="A69:C69"/>
    <mergeCell ref="A54:C54"/>
    <mergeCell ref="A66:C66"/>
    <mergeCell ref="A26:C26"/>
    <mergeCell ref="A4:I4"/>
    <mergeCell ref="A102:C102"/>
    <mergeCell ref="A97:C97"/>
    <mergeCell ref="A94:C94"/>
    <mergeCell ref="A86:C86"/>
    <mergeCell ref="A81:C81"/>
    <mergeCell ref="A83:C83"/>
    <mergeCell ref="A11:C11"/>
    <mergeCell ref="A23:C23"/>
    <mergeCell ref="A40:C40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zoomScalePageLayoutView="0" workbookViewId="0" topLeftCell="A1">
      <selection activeCell="A9" sqref="A9"/>
    </sheetView>
  </sheetViews>
  <sheetFormatPr defaultColWidth="8.7109375" defaultRowHeight="12.75"/>
  <cols>
    <col min="1" max="1" width="30.8515625" style="62" customWidth="1"/>
    <col min="2" max="2" width="7.57421875" style="62" customWidth="1"/>
    <col min="3" max="13" width="11.421875" style="62" customWidth="1"/>
    <col min="14" max="16384" width="8.7109375" style="62" customWidth="1"/>
  </cols>
  <sheetData>
    <row r="1" spans="1:8" ht="12.75">
      <c r="A1" s="54"/>
      <c r="B1" s="54"/>
      <c r="C1" s="124"/>
      <c r="D1" s="124"/>
      <c r="E1" s="124"/>
      <c r="F1" s="124"/>
      <c r="G1" s="475" t="s">
        <v>44</v>
      </c>
      <c r="H1" s="476" t="str">
        <f>+Pressupostos!E1</f>
        <v>XFCP Lda</v>
      </c>
    </row>
    <row r="2" spans="1:8" ht="12.75">
      <c r="A2" s="54"/>
      <c r="B2" s="54"/>
      <c r="C2" s="54"/>
      <c r="D2" s="54"/>
      <c r="E2" s="54"/>
      <c r="F2" s="54"/>
      <c r="G2" s="54"/>
      <c r="H2" s="49" t="str">
        <f>+Pressupostos!B9</f>
        <v>Euros</v>
      </c>
    </row>
    <row r="3" spans="1:8" ht="12.75">
      <c r="A3" s="54"/>
      <c r="B3" s="54"/>
      <c r="C3" s="54"/>
      <c r="D3" s="54"/>
      <c r="E3" s="54"/>
      <c r="F3" s="54"/>
      <c r="G3" s="54"/>
      <c r="H3" s="49"/>
    </row>
    <row r="4" spans="1:8" ht="13.5" customHeight="1">
      <c r="A4" s="613" t="s">
        <v>449</v>
      </c>
      <c r="B4" s="613"/>
      <c r="C4" s="613"/>
      <c r="D4" s="613"/>
      <c r="E4" s="613"/>
      <c r="F4" s="613"/>
      <c r="G4" s="613"/>
      <c r="H4" s="613"/>
    </row>
    <row r="5" spans="1:8" ht="12.75" customHeight="1">
      <c r="A5" s="54"/>
      <c r="B5" s="125"/>
      <c r="C5" s="125"/>
      <c r="D5" s="54"/>
      <c r="E5" s="54"/>
      <c r="F5" s="54"/>
      <c r="G5" s="54"/>
      <c r="H5" s="54"/>
    </row>
    <row r="6" spans="1:8" ht="12.75">
      <c r="A6" s="54"/>
      <c r="B6" s="116"/>
      <c r="C6" s="125"/>
      <c r="D6" s="54"/>
      <c r="E6" s="54"/>
      <c r="F6" s="54"/>
      <c r="G6" s="54"/>
      <c r="H6" s="54"/>
    </row>
    <row r="7" spans="1:8" ht="12.75">
      <c r="A7" s="117"/>
      <c r="B7" s="110"/>
      <c r="C7" s="51">
        <f>+VN!C8</f>
        <v>2019</v>
      </c>
      <c r="D7" s="51">
        <f>+VN!D8</f>
        <v>2020</v>
      </c>
      <c r="E7" s="51">
        <f>+VN!E8</f>
        <v>2021</v>
      </c>
      <c r="F7" s="51">
        <f>+VN!F8</f>
        <v>2022</v>
      </c>
      <c r="G7" s="51">
        <f>+VN!G8</f>
        <v>2023</v>
      </c>
      <c r="H7" s="51">
        <f>+VN!H8</f>
        <v>2024</v>
      </c>
    </row>
    <row r="8" spans="1:8" ht="12.75">
      <c r="A8" s="126" t="s">
        <v>56</v>
      </c>
      <c r="B8" s="127"/>
      <c r="C8" s="128"/>
      <c r="D8" s="87"/>
      <c r="E8" s="87"/>
      <c r="F8" s="87"/>
      <c r="G8" s="87"/>
      <c r="H8" s="87"/>
    </row>
    <row r="9" spans="1:8" ht="12.75">
      <c r="A9" s="55" t="s">
        <v>499</v>
      </c>
      <c r="B9" s="127"/>
      <c r="C9" s="6"/>
      <c r="D9" s="93">
        <f>+C9</f>
        <v>0</v>
      </c>
      <c r="E9" s="93">
        <f>+D9</f>
        <v>0</v>
      </c>
      <c r="F9" s="93">
        <f>+E9</f>
        <v>0</v>
      </c>
      <c r="G9" s="93">
        <f>+F9</f>
        <v>0</v>
      </c>
      <c r="H9" s="93">
        <f>+G9</f>
        <v>0</v>
      </c>
    </row>
    <row r="10" spans="1:8" ht="12.75">
      <c r="A10" s="55" t="s">
        <v>33</v>
      </c>
      <c r="B10" s="127"/>
      <c r="C10" s="93">
        <f>VN!C84*Pressupostos!$C$13/12</f>
        <v>0</v>
      </c>
      <c r="D10" s="93">
        <f>VN!D84*Pressupostos!$C$13/12</f>
        <v>0</v>
      </c>
      <c r="E10" s="93">
        <f>VN!E84*Pressupostos!$C$13/12</f>
        <v>0</v>
      </c>
      <c r="F10" s="93">
        <f>VN!F84*Pressupostos!$C$13/12</f>
        <v>0</v>
      </c>
      <c r="G10" s="93">
        <f>VN!G84*Pressupostos!$C$13/12</f>
        <v>0</v>
      </c>
      <c r="H10" s="93">
        <f>VN!H84*Pressupostos!$C$13/12</f>
        <v>0</v>
      </c>
    </row>
    <row r="11" spans="1:8" ht="12.75">
      <c r="A11" s="55" t="s">
        <v>157</v>
      </c>
      <c r="B11" s="127"/>
      <c r="C11" s="93">
        <f>CMVMC!C16*Pressupostos!$C$15/12</f>
        <v>0</v>
      </c>
      <c r="D11" s="93">
        <f>CMVMC!D16*Pressupostos!$C$15/12</f>
        <v>0</v>
      </c>
      <c r="E11" s="93">
        <f>CMVMC!E16*Pressupostos!$C$15/12</f>
        <v>0</v>
      </c>
      <c r="F11" s="93">
        <f>CMVMC!F16*Pressupostos!$C$15/12</f>
        <v>0</v>
      </c>
      <c r="G11" s="93">
        <f>CMVMC!G16*Pressupostos!$C$15/12</f>
        <v>0</v>
      </c>
      <c r="H11" s="93">
        <f>CMVMC!H16*Pressupostos!$C$15/12</f>
        <v>0</v>
      </c>
    </row>
    <row r="12" spans="1:8" ht="12.75">
      <c r="A12" s="55" t="s">
        <v>34</v>
      </c>
      <c r="B12" s="127"/>
      <c r="C12" s="93">
        <f aca="true" t="shared" si="0" ref="C12:H12">IF(C30&lt;0,-C30,0)+IF(C31&lt;0,-C31,0)+IF(C32&lt;0,-C32,0)</f>
        <v>0</v>
      </c>
      <c r="D12" s="93">
        <f t="shared" si="0"/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</row>
    <row r="13" spans="1:8" ht="12.75">
      <c r="A13" s="643" t="s">
        <v>99</v>
      </c>
      <c r="B13" s="644"/>
      <c r="C13" s="38"/>
      <c r="D13" s="38"/>
      <c r="E13" s="38"/>
      <c r="F13" s="38"/>
      <c r="G13" s="38"/>
      <c r="H13" s="38"/>
    </row>
    <row r="14" spans="1:8" ht="12.75">
      <c r="A14" s="643" t="s">
        <v>99</v>
      </c>
      <c r="B14" s="644"/>
      <c r="C14" s="38"/>
      <c r="D14" s="38"/>
      <c r="E14" s="38"/>
      <c r="F14" s="38"/>
      <c r="G14" s="38"/>
      <c r="H14" s="38"/>
    </row>
    <row r="15" spans="1:8" ht="12.75">
      <c r="A15" s="640" t="s">
        <v>31</v>
      </c>
      <c r="B15" s="641"/>
      <c r="C15" s="129">
        <f aca="true" t="shared" si="1" ref="C15:H15">SUM(C9:C14)</f>
        <v>0</v>
      </c>
      <c r="D15" s="129">
        <f t="shared" si="1"/>
        <v>0</v>
      </c>
      <c r="E15" s="129">
        <f t="shared" si="1"/>
        <v>0</v>
      </c>
      <c r="F15" s="129">
        <f t="shared" si="1"/>
        <v>0</v>
      </c>
      <c r="G15" s="129">
        <f t="shared" si="1"/>
        <v>0</v>
      </c>
      <c r="H15" s="129">
        <f t="shared" si="1"/>
        <v>0</v>
      </c>
    </row>
    <row r="16" spans="1:8" ht="12.75">
      <c r="A16" s="130" t="s">
        <v>57</v>
      </c>
      <c r="B16" s="127"/>
      <c r="C16" s="131"/>
      <c r="D16" s="132"/>
      <c r="E16" s="132"/>
      <c r="F16" s="132"/>
      <c r="G16" s="132"/>
      <c r="H16" s="132"/>
    </row>
    <row r="17" spans="1:8" ht="12.75">
      <c r="A17" s="55" t="s">
        <v>11</v>
      </c>
      <c r="B17" s="127"/>
      <c r="C17" s="93">
        <f>(CMVMC!C20+FSE!F53)*Pressupostos!$C$14/12</f>
        <v>0</v>
      </c>
      <c r="D17" s="93">
        <f>(CMVMC!D20+FSE!G53)*Pressupostos!$C$14/12</f>
        <v>0</v>
      </c>
      <c r="E17" s="93">
        <f>(CMVMC!E20+FSE!H53)*Pressupostos!$C$14/12</f>
        <v>0</v>
      </c>
      <c r="F17" s="93">
        <f>(CMVMC!F20+FSE!I53)*Pressupostos!$C$14/12</f>
        <v>0</v>
      </c>
      <c r="G17" s="93">
        <f>(CMVMC!G20+FSE!J53)*Pressupostos!$C$14/12</f>
        <v>0</v>
      </c>
      <c r="H17" s="93">
        <f>(CMVMC!H20+FSE!K53)*Pressupostos!$C$14/12</f>
        <v>0</v>
      </c>
    </row>
    <row r="18" spans="1:8" ht="12.75">
      <c r="A18" s="55" t="s">
        <v>34</v>
      </c>
      <c r="B18" s="127"/>
      <c r="C18" s="93">
        <f aca="true" t="shared" si="2" ref="C18:H18">IF(C30&gt;0,C30,0)+IF(C31&gt;0,C31,0)+IF(C32&gt;0,C32,0)</f>
        <v>0</v>
      </c>
      <c r="D18" s="93">
        <f t="shared" si="2"/>
        <v>0</v>
      </c>
      <c r="E18" s="93">
        <f t="shared" si="2"/>
        <v>0</v>
      </c>
      <c r="F18" s="93">
        <f t="shared" si="2"/>
        <v>0</v>
      </c>
      <c r="G18" s="93">
        <f t="shared" si="2"/>
        <v>0</v>
      </c>
      <c r="H18" s="93">
        <f t="shared" si="2"/>
        <v>0</v>
      </c>
    </row>
    <row r="19" spans="1:8" ht="12.75">
      <c r="A19" s="643" t="s">
        <v>99</v>
      </c>
      <c r="B19" s="644"/>
      <c r="C19" s="39"/>
      <c r="D19" s="39"/>
      <c r="E19" s="39"/>
      <c r="F19" s="39"/>
      <c r="G19" s="39"/>
      <c r="H19" s="39"/>
    </row>
    <row r="20" spans="1:8" ht="13.5" thickBot="1">
      <c r="A20" s="629" t="s">
        <v>31</v>
      </c>
      <c r="B20" s="630"/>
      <c r="C20" s="133">
        <f aca="true" t="shared" si="3" ref="C20:H20">+SUM(C17:C19)</f>
        <v>0</v>
      </c>
      <c r="D20" s="133">
        <f t="shared" si="3"/>
        <v>0</v>
      </c>
      <c r="E20" s="133">
        <f t="shared" si="3"/>
        <v>0</v>
      </c>
      <c r="F20" s="133">
        <f t="shared" si="3"/>
        <v>0</v>
      </c>
      <c r="G20" s="133">
        <f t="shared" si="3"/>
        <v>0</v>
      </c>
      <c r="H20" s="133">
        <f t="shared" si="3"/>
        <v>0</v>
      </c>
    </row>
    <row r="21" spans="1:8" ht="13.5" thickTop="1">
      <c r="A21" s="134"/>
      <c r="B21" s="97"/>
      <c r="C21" s="135"/>
      <c r="D21" s="136"/>
      <c r="E21" s="136"/>
      <c r="F21" s="136"/>
      <c r="G21" s="136"/>
      <c r="H21" s="136"/>
    </row>
    <row r="22" spans="1:8" ht="13.5" thickBot="1">
      <c r="A22" s="137" t="s">
        <v>117</v>
      </c>
      <c r="B22" s="138"/>
      <c r="C22" s="133">
        <f aca="true" t="shared" si="4" ref="C22:H22">+C15-C20</f>
        <v>0</v>
      </c>
      <c r="D22" s="133">
        <f t="shared" si="4"/>
        <v>0</v>
      </c>
      <c r="E22" s="133">
        <f t="shared" si="4"/>
        <v>0</v>
      </c>
      <c r="F22" s="133">
        <f t="shared" si="4"/>
        <v>0</v>
      </c>
      <c r="G22" s="133">
        <f t="shared" si="4"/>
        <v>0</v>
      </c>
      <c r="H22" s="133">
        <f t="shared" si="4"/>
        <v>0</v>
      </c>
    </row>
    <row r="23" spans="1:8" ht="13.5" thickTop="1">
      <c r="A23" s="139"/>
      <c r="B23" s="140"/>
      <c r="C23" s="135"/>
      <c r="D23" s="136"/>
      <c r="E23" s="136"/>
      <c r="F23" s="136"/>
      <c r="G23" s="136"/>
      <c r="H23" s="136"/>
    </row>
    <row r="24" spans="1:8" ht="13.5" thickBot="1">
      <c r="A24" s="137" t="s">
        <v>58</v>
      </c>
      <c r="B24" s="138"/>
      <c r="C24" s="133">
        <f>+C22</f>
        <v>0</v>
      </c>
      <c r="D24" s="133">
        <f>+D22-C22</f>
        <v>0</v>
      </c>
      <c r="E24" s="133">
        <f>+E22-D22</f>
        <v>0</v>
      </c>
      <c r="F24" s="133">
        <f>+F22-E22</f>
        <v>0</v>
      </c>
      <c r="G24" s="133">
        <f>+G22-F22</f>
        <v>0</v>
      </c>
      <c r="H24" s="133">
        <f>+H22-G22</f>
        <v>0</v>
      </c>
    </row>
    <row r="25" spans="1:8" ht="13.5" thickTop="1">
      <c r="A25" s="134"/>
      <c r="B25" s="97"/>
      <c r="C25" s="102"/>
      <c r="D25" s="54"/>
      <c r="E25" s="54"/>
      <c r="F25" s="54"/>
      <c r="G25" s="54"/>
      <c r="H25" s="54"/>
    </row>
    <row r="26" spans="1:8" ht="12.75">
      <c r="A26" s="141" t="s">
        <v>118</v>
      </c>
      <c r="B26" s="97"/>
      <c r="C26" s="102"/>
      <c r="D26" s="54"/>
      <c r="E26" s="54"/>
      <c r="F26" s="54"/>
      <c r="G26" s="54"/>
      <c r="H26" s="54"/>
    </row>
    <row r="27" spans="1:8" ht="12.75">
      <c r="A27" s="54"/>
      <c r="B27" s="54"/>
      <c r="C27" s="125"/>
      <c r="D27" s="125"/>
      <c r="E27" s="142"/>
      <c r="F27" s="125"/>
      <c r="G27" s="125"/>
      <c r="H27" s="125"/>
    </row>
    <row r="28" spans="3:8" ht="12.75">
      <c r="C28" s="143"/>
      <c r="D28" s="143"/>
      <c r="E28" s="144"/>
      <c r="F28" s="143"/>
      <c r="G28" s="143"/>
      <c r="H28" s="143"/>
    </row>
    <row r="29" spans="1:8" ht="12.75">
      <c r="A29" s="269" t="s">
        <v>135</v>
      </c>
      <c r="B29" s="271"/>
      <c r="C29" s="272">
        <f aca="true" t="shared" si="5" ref="C29:H29">+SUM(C30:C32)</f>
        <v>0</v>
      </c>
      <c r="D29" s="272">
        <f t="shared" si="5"/>
        <v>0</v>
      </c>
      <c r="E29" s="272">
        <f t="shared" si="5"/>
        <v>0</v>
      </c>
      <c r="F29" s="272">
        <f t="shared" si="5"/>
        <v>0</v>
      </c>
      <c r="G29" s="272">
        <f t="shared" si="5"/>
        <v>0</v>
      </c>
      <c r="H29" s="272">
        <f t="shared" si="5"/>
        <v>0</v>
      </c>
    </row>
    <row r="30" spans="1:8" ht="12.75">
      <c r="A30" s="270" t="s">
        <v>136</v>
      </c>
      <c r="B30" s="271"/>
      <c r="C30" s="391">
        <f>IF('Gastos com Pessoal'!D$7=0,0,('Gastos com Pessoal'!D99+'Gastos com Pessoal'!D100+'Gastos com Pessoal'!D71+'Gastos com Pessoal'!D72)/'Gastos com Pessoal'!D$7)</f>
        <v>0</v>
      </c>
      <c r="D30" s="273">
        <f>IF('Gastos com Pessoal'!E$7=0,0,('Gastos com Pessoal'!E99+'Gastos com Pessoal'!E100+'Gastos com Pessoal'!E71+'Gastos com Pessoal'!E72)/'Gastos com Pessoal'!E$7)</f>
        <v>0</v>
      </c>
      <c r="E30" s="391">
        <f>('Gastos com Pessoal'!F99+'Gastos com Pessoal'!F100+'Gastos com Pessoal'!F71+'Gastos com Pessoal'!F72)/'Gastos com Pessoal'!F$7</f>
        <v>0</v>
      </c>
      <c r="F30" s="273">
        <f>('Gastos com Pessoal'!G99+'Gastos com Pessoal'!G100+'Gastos com Pessoal'!G71+'Gastos com Pessoal'!G72)/'Gastos com Pessoal'!G$7</f>
        <v>0</v>
      </c>
      <c r="G30" s="273">
        <f>('Gastos com Pessoal'!H99+'Gastos com Pessoal'!H100+'Gastos com Pessoal'!H71+'Gastos com Pessoal'!H72)/'Gastos com Pessoal'!H$7</f>
        <v>0</v>
      </c>
      <c r="H30" s="273">
        <f>('Gastos com Pessoal'!I99+'Gastos com Pessoal'!I100+'Gastos com Pessoal'!I71+'Gastos com Pessoal'!I72)/'Gastos com Pessoal'!I$7</f>
        <v>0</v>
      </c>
    </row>
    <row r="31" spans="1:8" ht="12.75">
      <c r="A31" s="270" t="s">
        <v>137</v>
      </c>
      <c r="B31" s="271"/>
      <c r="C31" s="273">
        <f>IF('Gastos com Pessoal'!D7=0,0,'Gastos com Pessoal'!D101/'Gastos com Pessoal'!D7)</f>
        <v>0</v>
      </c>
      <c r="D31" s="273">
        <f>IF('Gastos com Pessoal'!E7=0,0,'Gastos com Pessoal'!E101/'Gastos com Pessoal'!E7)</f>
        <v>0</v>
      </c>
      <c r="E31" s="273">
        <f>'Gastos com Pessoal'!F101/'Gastos com Pessoal'!F7</f>
        <v>0</v>
      </c>
      <c r="F31" s="273">
        <f>'Gastos com Pessoal'!G101/'Gastos com Pessoal'!G7</f>
        <v>0</v>
      </c>
      <c r="G31" s="273">
        <f>'Gastos com Pessoal'!H101/'Gastos com Pessoal'!H7</f>
        <v>0</v>
      </c>
      <c r="H31" s="273">
        <f>'Gastos com Pessoal'!I101/'Gastos com Pessoal'!I7</f>
        <v>0</v>
      </c>
    </row>
    <row r="32" spans="1:8" ht="12.75">
      <c r="A32" s="270" t="s">
        <v>43</v>
      </c>
      <c r="B32" s="271"/>
      <c r="C32" s="273">
        <f>(VN!C82-CMVMC!C18-FSE!F51-Investimento!C33)/Pressupostos!$C$16</f>
        <v>0</v>
      </c>
      <c r="D32" s="273">
        <f>(VN!D82-CMVMC!D18-FSE!G51-Investimento!D33)/Pressupostos!$C$16</f>
        <v>0</v>
      </c>
      <c r="E32" s="273">
        <f>(VN!E82-CMVMC!E18-FSE!H51-Investimento!E33)/Pressupostos!$C$16</f>
        <v>0</v>
      </c>
      <c r="F32" s="273">
        <f>(VN!F82-CMVMC!F18-FSE!I51-Investimento!F33)/Pressupostos!$C$16</f>
        <v>0</v>
      </c>
      <c r="G32" s="273">
        <f>(VN!G82-CMVMC!G18-FSE!J51-Investimento!G33)/Pressupostos!$C$16</f>
        <v>0</v>
      </c>
      <c r="H32" s="273">
        <f>(VN!H82-CMVMC!H18-FSE!K51-Investimento!H33)/Pressupostos!$C$16</f>
        <v>0</v>
      </c>
    </row>
    <row r="33" ht="12.75">
      <c r="E33" s="144"/>
    </row>
    <row r="34" ht="12.75">
      <c r="E34" s="144"/>
    </row>
    <row r="35" ht="12.75">
      <c r="E35" s="144"/>
    </row>
    <row r="36" ht="12.75">
      <c r="E36" s="144"/>
    </row>
    <row r="37" ht="12.75">
      <c r="E37" s="144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3"/>
  <dimension ref="A1:H182"/>
  <sheetViews>
    <sheetView showGridLines="0" showZeros="0" zoomScalePageLayoutView="0" workbookViewId="0" topLeftCell="A64">
      <selection activeCell="D72" sqref="D72:H73"/>
    </sheetView>
  </sheetViews>
  <sheetFormatPr defaultColWidth="8.7109375" defaultRowHeight="12.75"/>
  <cols>
    <col min="1" max="1" width="35.7109375" style="146" customWidth="1"/>
    <col min="2" max="2" width="8.7109375" style="146" customWidth="1"/>
    <col min="3" max="8" width="9.7109375" style="146" customWidth="1"/>
    <col min="9" max="9" width="3.421875" style="146" customWidth="1"/>
    <col min="10" max="10" width="2.7109375" style="146" customWidth="1"/>
    <col min="11" max="16384" width="8.7109375" style="146" customWidth="1"/>
  </cols>
  <sheetData>
    <row r="1" spans="1:8" s="62" customFormat="1" ht="13.5">
      <c r="A1" s="54"/>
      <c r="B1" s="54"/>
      <c r="C1" s="46"/>
      <c r="D1" s="46"/>
      <c r="E1" s="46"/>
      <c r="F1" s="46"/>
      <c r="G1" s="459" t="s">
        <v>44</v>
      </c>
      <c r="H1" s="460" t="str">
        <f>+Pressupostos!E1</f>
        <v>XFCP Lda</v>
      </c>
    </row>
    <row r="2" spans="1:8" s="62" customFormat="1" ht="12.75">
      <c r="A2" s="48"/>
      <c r="B2" s="46"/>
      <c r="C2" s="46"/>
      <c r="D2" s="46"/>
      <c r="E2" s="46"/>
      <c r="F2" s="46"/>
      <c r="G2" s="54"/>
      <c r="H2" s="49" t="str">
        <f>+Pressupostos!B9</f>
        <v>Euros</v>
      </c>
    </row>
    <row r="3" spans="1:8" s="62" customFormat="1" ht="12.75">
      <c r="A3" s="48"/>
      <c r="B3" s="46"/>
      <c r="C3" s="46"/>
      <c r="D3" s="46"/>
      <c r="E3" s="46"/>
      <c r="F3" s="46"/>
      <c r="G3" s="54"/>
      <c r="H3" s="49"/>
    </row>
    <row r="4" spans="1:8" s="62" customFormat="1" ht="15.75">
      <c r="A4" s="613" t="s">
        <v>37</v>
      </c>
      <c r="B4" s="613"/>
      <c r="C4" s="613"/>
      <c r="D4" s="613"/>
      <c r="E4" s="613"/>
      <c r="F4" s="613"/>
      <c r="G4" s="613"/>
      <c r="H4" s="613"/>
    </row>
    <row r="5" spans="1:8" ht="12.75">
      <c r="A5" s="145"/>
      <c r="B5" s="145"/>
      <c r="C5" s="145"/>
      <c r="D5" s="145"/>
      <c r="E5" s="145"/>
      <c r="F5" s="145"/>
      <c r="G5" s="145"/>
      <c r="H5" s="145"/>
    </row>
    <row r="6" spans="1:8" ht="12.75">
      <c r="A6" s="147"/>
      <c r="B6" s="147"/>
      <c r="C6" s="148"/>
      <c r="D6" s="148"/>
      <c r="E6" s="148"/>
      <c r="F6" s="148"/>
      <c r="G6" s="148"/>
      <c r="H6" s="148"/>
    </row>
    <row r="7" spans="1:8" ht="12.75">
      <c r="A7" s="655" t="s">
        <v>366</v>
      </c>
      <c r="B7" s="655"/>
      <c r="C7" s="149">
        <f>+VN!C8</f>
        <v>2019</v>
      </c>
      <c r="D7" s="149">
        <f>+VN!D8</f>
        <v>2020</v>
      </c>
      <c r="E7" s="149">
        <f>+VN!E8</f>
        <v>2021</v>
      </c>
      <c r="F7" s="149">
        <f>+VN!F8</f>
        <v>2022</v>
      </c>
      <c r="G7" s="149">
        <f>+VN!G8</f>
        <v>2023</v>
      </c>
      <c r="H7" s="149">
        <f>+VN!H8</f>
        <v>2024</v>
      </c>
    </row>
    <row r="8" spans="1:8" ht="12.75">
      <c r="A8" s="150" t="s">
        <v>367</v>
      </c>
      <c r="B8" s="164"/>
      <c r="C8" s="149"/>
      <c r="D8" s="149"/>
      <c r="E8" s="149"/>
      <c r="F8" s="149"/>
      <c r="G8" s="149"/>
      <c r="H8" s="149"/>
    </row>
    <row r="9" spans="1:8" ht="12.75">
      <c r="A9" s="277" t="s">
        <v>368</v>
      </c>
      <c r="B9" s="164"/>
      <c r="C9" s="42"/>
      <c r="D9" s="42"/>
      <c r="E9" s="42"/>
      <c r="F9" s="42"/>
      <c r="G9" s="42"/>
      <c r="H9" s="42"/>
    </row>
    <row r="10" spans="1:8" ht="12.75">
      <c r="A10" s="277" t="s">
        <v>369</v>
      </c>
      <c r="B10" s="164"/>
      <c r="C10" s="42"/>
      <c r="D10" s="42"/>
      <c r="E10" s="42"/>
      <c r="F10" s="42"/>
      <c r="G10" s="42"/>
      <c r="H10" s="42"/>
    </row>
    <row r="11" spans="1:8" ht="12.75">
      <c r="A11" s="277" t="s">
        <v>370</v>
      </c>
      <c r="B11" s="164"/>
      <c r="C11" s="42"/>
      <c r="D11" s="42"/>
      <c r="E11" s="42"/>
      <c r="F11" s="42"/>
      <c r="G11" s="42"/>
      <c r="H11" s="42"/>
    </row>
    <row r="12" spans="1:8" ht="12.75">
      <c r="A12" s="651" t="s">
        <v>371</v>
      </c>
      <c r="B12" s="652"/>
      <c r="C12" s="281">
        <f aca="true" t="shared" si="0" ref="C12:H12">+SUM(C9:C11)</f>
        <v>0</v>
      </c>
      <c r="D12" s="281">
        <f>+SUM(D9:D11)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</row>
    <row r="13" spans="1:8" ht="12.75">
      <c r="A13" s="150" t="s">
        <v>372</v>
      </c>
      <c r="B13" s="151"/>
      <c r="C13" s="153"/>
      <c r="D13" s="153"/>
      <c r="E13" s="153"/>
      <c r="F13" s="153"/>
      <c r="G13" s="153"/>
      <c r="H13" s="153"/>
    </row>
    <row r="14" spans="1:8" ht="12.75">
      <c r="A14" s="277" t="s">
        <v>368</v>
      </c>
      <c r="B14" s="151"/>
      <c r="C14" s="42"/>
      <c r="D14" s="42"/>
      <c r="E14" s="42"/>
      <c r="F14" s="42"/>
      <c r="G14" s="42"/>
      <c r="H14" s="42"/>
    </row>
    <row r="15" spans="1:8" ht="12.75">
      <c r="A15" s="277" t="s">
        <v>369</v>
      </c>
      <c r="B15" s="151"/>
      <c r="C15" s="42"/>
      <c r="D15" s="42"/>
      <c r="E15" s="42"/>
      <c r="F15" s="42"/>
      <c r="G15" s="42"/>
      <c r="H15" s="42"/>
    </row>
    <row r="16" spans="1:8" ht="12.75">
      <c r="A16" s="277" t="s">
        <v>373</v>
      </c>
      <c r="B16" s="151"/>
      <c r="C16" s="42"/>
      <c r="D16" s="42"/>
      <c r="E16" s="42"/>
      <c r="F16" s="42"/>
      <c r="G16" s="42"/>
      <c r="H16" s="42"/>
    </row>
    <row r="17" spans="1:8" ht="12.75">
      <c r="A17" s="277" t="s">
        <v>374</v>
      </c>
      <c r="B17" s="151"/>
      <c r="C17" s="42"/>
      <c r="D17" s="42"/>
      <c r="E17" s="42"/>
      <c r="F17" s="42"/>
      <c r="G17" s="42"/>
      <c r="H17" s="42"/>
    </row>
    <row r="18" spans="1:8" ht="12.75">
      <c r="A18" s="277" t="s">
        <v>375</v>
      </c>
      <c r="B18" s="151"/>
      <c r="C18" s="42"/>
      <c r="D18" s="42"/>
      <c r="E18" s="42"/>
      <c r="F18" s="42"/>
      <c r="G18" s="42"/>
      <c r="H18" s="42"/>
    </row>
    <row r="19" spans="1:8" ht="12.75">
      <c r="A19" s="277" t="s">
        <v>376</v>
      </c>
      <c r="B19" s="151"/>
      <c r="C19" s="42"/>
      <c r="D19" s="42"/>
      <c r="E19" s="42"/>
      <c r="F19" s="42"/>
      <c r="G19" s="42"/>
      <c r="H19" s="42"/>
    </row>
    <row r="20" spans="1:8" ht="12.75">
      <c r="A20" s="277" t="s">
        <v>377</v>
      </c>
      <c r="B20" s="151"/>
      <c r="C20" s="42"/>
      <c r="D20" s="42"/>
      <c r="E20" s="42"/>
      <c r="F20" s="42"/>
      <c r="G20" s="42"/>
      <c r="H20" s="42"/>
    </row>
    <row r="21" spans="1:8" ht="12.75">
      <c r="A21" s="653" t="s">
        <v>271</v>
      </c>
      <c r="B21" s="654"/>
      <c r="C21" s="154">
        <f aca="true" t="shared" si="1" ref="C21:H21">+SUM(C14:C20)</f>
        <v>0</v>
      </c>
      <c r="D21" s="154">
        <f>+SUM(D14:D20)</f>
        <v>0</v>
      </c>
      <c r="E21" s="154">
        <f t="shared" si="1"/>
        <v>0</v>
      </c>
      <c r="F21" s="154">
        <f t="shared" si="1"/>
        <v>0</v>
      </c>
      <c r="G21" s="154">
        <f t="shared" si="1"/>
        <v>0</v>
      </c>
      <c r="H21" s="154">
        <f t="shared" si="1"/>
        <v>0</v>
      </c>
    </row>
    <row r="22" spans="1:8" ht="12.75">
      <c r="A22" s="150" t="s">
        <v>272</v>
      </c>
      <c r="B22" s="151"/>
      <c r="C22" s="162"/>
      <c r="D22" s="162"/>
      <c r="E22" s="162"/>
      <c r="F22" s="162"/>
      <c r="G22" s="162"/>
      <c r="H22" s="162"/>
    </row>
    <row r="23" spans="1:8" ht="12.75">
      <c r="A23" s="277" t="s">
        <v>159</v>
      </c>
      <c r="B23" s="151"/>
      <c r="C23" s="42"/>
      <c r="D23" s="42"/>
      <c r="E23" s="42"/>
      <c r="F23" s="42"/>
      <c r="G23" s="42"/>
      <c r="H23" s="42"/>
    </row>
    <row r="24" spans="1:8" ht="12.75">
      <c r="A24" s="277" t="s">
        <v>378</v>
      </c>
      <c r="B24" s="151"/>
      <c r="C24" s="42"/>
      <c r="D24" s="42"/>
      <c r="E24" s="42"/>
      <c r="F24" s="42"/>
      <c r="G24" s="42"/>
      <c r="H24" s="42"/>
    </row>
    <row r="25" spans="1:8" ht="12.75">
      <c r="A25" s="277" t="s">
        <v>379</v>
      </c>
      <c r="B25" s="151"/>
      <c r="C25" s="42"/>
      <c r="D25" s="42"/>
      <c r="E25" s="42"/>
      <c r="F25" s="42"/>
      <c r="G25" s="42"/>
      <c r="H25" s="42"/>
    </row>
    <row r="26" spans="1:8" ht="12.75">
      <c r="A26" s="277" t="s">
        <v>380</v>
      </c>
      <c r="B26" s="151"/>
      <c r="C26" s="42"/>
      <c r="D26" s="42"/>
      <c r="E26" s="42"/>
      <c r="F26" s="42"/>
      <c r="G26" s="42"/>
      <c r="H26" s="42"/>
    </row>
    <row r="27" spans="1:8" ht="12.75">
      <c r="A27" s="277" t="s">
        <v>381</v>
      </c>
      <c r="B27" s="151"/>
      <c r="C27" s="42"/>
      <c r="D27" s="42"/>
      <c r="E27" s="42"/>
      <c r="F27" s="42"/>
      <c r="G27" s="42"/>
      <c r="H27" s="42"/>
    </row>
    <row r="28" spans="1:8" ht="12.75">
      <c r="A28" s="653" t="s">
        <v>273</v>
      </c>
      <c r="B28" s="654"/>
      <c r="C28" s="154">
        <f aca="true" t="shared" si="2" ref="C28:H28">+SUM(C23:C27)</f>
        <v>0</v>
      </c>
      <c r="D28" s="154">
        <f t="shared" si="2"/>
        <v>0</v>
      </c>
      <c r="E28" s="154">
        <f t="shared" si="2"/>
        <v>0</v>
      </c>
      <c r="F28" s="154">
        <f t="shared" si="2"/>
        <v>0</v>
      </c>
      <c r="G28" s="154">
        <f t="shared" si="2"/>
        <v>0</v>
      </c>
      <c r="H28" s="154">
        <f t="shared" si="2"/>
        <v>0</v>
      </c>
    </row>
    <row r="29" spans="1:8" ht="13.5" thickBot="1">
      <c r="A29" s="649" t="s">
        <v>130</v>
      </c>
      <c r="B29" s="649"/>
      <c r="C29" s="155">
        <f aca="true" t="shared" si="3" ref="C29:H29">+C12+C21+C28</f>
        <v>0</v>
      </c>
      <c r="D29" s="155">
        <f t="shared" si="3"/>
        <v>0</v>
      </c>
      <c r="E29" s="155">
        <f t="shared" si="3"/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</row>
    <row r="30" spans="1:8" ht="13.5" thickTop="1">
      <c r="A30" s="156"/>
      <c r="B30" s="156"/>
      <c r="C30" s="157"/>
      <c r="D30" s="157"/>
      <c r="E30" s="157"/>
      <c r="F30" s="157"/>
      <c r="G30" s="157"/>
      <c r="H30" s="157"/>
    </row>
    <row r="31" spans="1:8" ht="13.5">
      <c r="A31" s="659" t="s">
        <v>500</v>
      </c>
      <c r="B31" s="660"/>
      <c r="C31" s="477">
        <f>+'Gastos com Pessoal'!D9</f>
        <v>12</v>
      </c>
      <c r="D31" s="477">
        <f>+'Gastos com Pessoal'!E9</f>
        <v>12</v>
      </c>
      <c r="E31" s="477">
        <f>+'Gastos com Pessoal'!F9</f>
        <v>12</v>
      </c>
      <c r="F31" s="477">
        <f>+'Gastos com Pessoal'!G9</f>
        <v>12</v>
      </c>
      <c r="G31" s="477">
        <f>+'Gastos com Pessoal'!H9</f>
        <v>12</v>
      </c>
      <c r="H31" s="477">
        <f>+'Gastos com Pessoal'!I9</f>
        <v>12</v>
      </c>
    </row>
    <row r="32" spans="1:8" ht="12.75">
      <c r="A32" s="160"/>
      <c r="B32" s="160"/>
      <c r="C32" s="161"/>
      <c r="D32" s="161"/>
      <c r="E32" s="161"/>
      <c r="F32" s="161"/>
      <c r="G32" s="161"/>
      <c r="H32" s="161"/>
    </row>
    <row r="33" spans="1:8" ht="13.5" thickBot="1">
      <c r="A33" s="158" t="s">
        <v>43</v>
      </c>
      <c r="B33" s="268">
        <f>+Pressupostos!B22</f>
        <v>0.23</v>
      </c>
      <c r="C33" s="155">
        <f aca="true" t="shared" si="4" ref="C33:H33">+$B$33*(C16+C18+C20+C25)</f>
        <v>0</v>
      </c>
      <c r="D33" s="155">
        <f t="shared" si="4"/>
        <v>0</v>
      </c>
      <c r="E33" s="155">
        <f t="shared" si="4"/>
        <v>0</v>
      </c>
      <c r="F33" s="155">
        <f t="shared" si="4"/>
        <v>0</v>
      </c>
      <c r="G33" s="155">
        <f t="shared" si="4"/>
        <v>0</v>
      </c>
      <c r="H33" s="155">
        <f t="shared" si="4"/>
        <v>0</v>
      </c>
    </row>
    <row r="34" spans="1:8" ht="13.5" thickTop="1">
      <c r="A34" s="159"/>
      <c r="B34" s="160"/>
      <c r="C34" s="161"/>
      <c r="D34" s="161"/>
      <c r="E34" s="161"/>
      <c r="F34" s="161"/>
      <c r="G34" s="161"/>
      <c r="H34" s="161"/>
    </row>
    <row r="35" spans="1:8" ht="12.75">
      <c r="A35" s="655" t="s">
        <v>183</v>
      </c>
      <c r="B35" s="655"/>
      <c r="C35" s="149">
        <f aca="true" t="shared" si="5" ref="C35:H35">+C7</f>
        <v>2019</v>
      </c>
      <c r="D35" s="149">
        <f t="shared" si="5"/>
        <v>2020</v>
      </c>
      <c r="E35" s="149">
        <f t="shared" si="5"/>
        <v>2021</v>
      </c>
      <c r="F35" s="149">
        <f t="shared" si="5"/>
        <v>2022</v>
      </c>
      <c r="G35" s="149">
        <f t="shared" si="5"/>
        <v>2023</v>
      </c>
      <c r="H35" s="149">
        <f t="shared" si="5"/>
        <v>2024</v>
      </c>
    </row>
    <row r="36" spans="1:8" ht="12.75">
      <c r="A36" s="150" t="s">
        <v>367</v>
      </c>
      <c r="B36" s="164"/>
      <c r="C36" s="282"/>
      <c r="D36" s="282"/>
      <c r="E36" s="282"/>
      <c r="F36" s="282"/>
      <c r="G36" s="282"/>
      <c r="H36" s="282"/>
    </row>
    <row r="37" spans="1:8" ht="12.75">
      <c r="A37" s="277" t="s">
        <v>368</v>
      </c>
      <c r="B37" s="164"/>
      <c r="C37" s="280">
        <f>+C9</f>
        <v>0</v>
      </c>
      <c r="D37" s="280">
        <f aca="true" t="shared" si="6" ref="D37:H39">+C37+D9</f>
        <v>0</v>
      </c>
      <c r="E37" s="280">
        <f t="shared" si="6"/>
        <v>0</v>
      </c>
      <c r="F37" s="280">
        <f t="shared" si="6"/>
        <v>0</v>
      </c>
      <c r="G37" s="280">
        <f t="shared" si="6"/>
        <v>0</v>
      </c>
      <c r="H37" s="280">
        <f t="shared" si="6"/>
        <v>0</v>
      </c>
    </row>
    <row r="38" spans="1:8" ht="12.75">
      <c r="A38" s="277" t="s">
        <v>369</v>
      </c>
      <c r="B38" s="164"/>
      <c r="C38" s="280">
        <f>+C10</f>
        <v>0</v>
      </c>
      <c r="D38" s="280">
        <f t="shared" si="6"/>
        <v>0</v>
      </c>
      <c r="E38" s="280">
        <f t="shared" si="6"/>
        <v>0</v>
      </c>
      <c r="F38" s="280">
        <f t="shared" si="6"/>
        <v>0</v>
      </c>
      <c r="G38" s="280">
        <f t="shared" si="6"/>
        <v>0</v>
      </c>
      <c r="H38" s="280">
        <f t="shared" si="6"/>
        <v>0</v>
      </c>
    </row>
    <row r="39" spans="1:8" ht="12.75">
      <c r="A39" s="277" t="s">
        <v>370</v>
      </c>
      <c r="B39" s="164"/>
      <c r="C39" s="280">
        <f>+C11</f>
        <v>0</v>
      </c>
      <c r="D39" s="280">
        <f t="shared" si="6"/>
        <v>0</v>
      </c>
      <c r="E39" s="280">
        <f t="shared" si="6"/>
        <v>0</v>
      </c>
      <c r="F39" s="280">
        <f t="shared" si="6"/>
        <v>0</v>
      </c>
      <c r="G39" s="280">
        <f t="shared" si="6"/>
        <v>0</v>
      </c>
      <c r="H39" s="280">
        <f t="shared" si="6"/>
        <v>0</v>
      </c>
    </row>
    <row r="40" spans="1:8" ht="12.75">
      <c r="A40" s="651" t="s">
        <v>371</v>
      </c>
      <c r="B40" s="652"/>
      <c r="C40" s="279">
        <f aca="true" t="shared" si="7" ref="C40:H40">+SUM(C37:C39)</f>
        <v>0</v>
      </c>
      <c r="D40" s="279">
        <f t="shared" si="7"/>
        <v>0</v>
      </c>
      <c r="E40" s="279">
        <f t="shared" si="7"/>
        <v>0</v>
      </c>
      <c r="F40" s="279">
        <f t="shared" si="7"/>
        <v>0</v>
      </c>
      <c r="G40" s="279">
        <f t="shared" si="7"/>
        <v>0</v>
      </c>
      <c r="H40" s="279">
        <f t="shared" si="7"/>
        <v>0</v>
      </c>
    </row>
    <row r="41" spans="1:8" ht="12.75">
      <c r="A41" s="150" t="s">
        <v>372</v>
      </c>
      <c r="B41" s="151"/>
      <c r="C41" s="279"/>
      <c r="D41" s="279"/>
      <c r="E41" s="279"/>
      <c r="F41" s="279"/>
      <c r="G41" s="279"/>
      <c r="H41" s="279"/>
    </row>
    <row r="42" spans="1:8" ht="12.75">
      <c r="A42" s="152" t="s">
        <v>382</v>
      </c>
      <c r="B42" s="151"/>
      <c r="C42" s="281">
        <f aca="true" t="shared" si="8" ref="C42:C48">+C14</f>
        <v>0</v>
      </c>
      <c r="D42" s="394">
        <f aca="true" t="shared" si="9" ref="D42:H48">+C42+D14</f>
        <v>0</v>
      </c>
      <c r="E42" s="394">
        <f t="shared" si="9"/>
        <v>0</v>
      </c>
      <c r="F42" s="394">
        <f t="shared" si="9"/>
        <v>0</v>
      </c>
      <c r="G42" s="394">
        <f t="shared" si="9"/>
        <v>0</v>
      </c>
      <c r="H42" s="394">
        <f t="shared" si="9"/>
        <v>0</v>
      </c>
    </row>
    <row r="43" spans="1:8" ht="12.75">
      <c r="A43" s="152" t="s">
        <v>383</v>
      </c>
      <c r="B43" s="151"/>
      <c r="C43" s="281">
        <f t="shared" si="8"/>
        <v>0</v>
      </c>
      <c r="D43" s="394">
        <f t="shared" si="9"/>
        <v>0</v>
      </c>
      <c r="E43" s="394">
        <f t="shared" si="9"/>
        <v>0</v>
      </c>
      <c r="F43" s="394">
        <f t="shared" si="9"/>
        <v>0</v>
      </c>
      <c r="G43" s="394">
        <f t="shared" si="9"/>
        <v>0</v>
      </c>
      <c r="H43" s="394">
        <f t="shared" si="9"/>
        <v>0</v>
      </c>
    </row>
    <row r="44" spans="1:8" ht="12.75">
      <c r="A44" s="152" t="s">
        <v>384</v>
      </c>
      <c r="B44" s="151"/>
      <c r="C44" s="281">
        <f t="shared" si="8"/>
        <v>0</v>
      </c>
      <c r="D44" s="394">
        <f t="shared" si="9"/>
        <v>0</v>
      </c>
      <c r="E44" s="394">
        <f t="shared" si="9"/>
        <v>0</v>
      </c>
      <c r="F44" s="394">
        <f t="shared" si="9"/>
        <v>0</v>
      </c>
      <c r="G44" s="394">
        <f t="shared" si="9"/>
        <v>0</v>
      </c>
      <c r="H44" s="394">
        <f t="shared" si="9"/>
        <v>0</v>
      </c>
    </row>
    <row r="45" spans="1:8" ht="12.75">
      <c r="A45" s="152" t="s">
        <v>385</v>
      </c>
      <c r="B45" s="151"/>
      <c r="C45" s="281">
        <f t="shared" si="8"/>
        <v>0</v>
      </c>
      <c r="D45" s="394">
        <f t="shared" si="9"/>
        <v>0</v>
      </c>
      <c r="E45" s="394">
        <f t="shared" si="9"/>
        <v>0</v>
      </c>
      <c r="F45" s="394">
        <f t="shared" si="9"/>
        <v>0</v>
      </c>
      <c r="G45" s="394">
        <f t="shared" si="9"/>
        <v>0</v>
      </c>
      <c r="H45" s="394">
        <f t="shared" si="9"/>
        <v>0</v>
      </c>
    </row>
    <row r="46" spans="1:8" ht="12.75">
      <c r="A46" s="152" t="s">
        <v>386</v>
      </c>
      <c r="B46" s="151"/>
      <c r="C46" s="281">
        <f t="shared" si="8"/>
        <v>0</v>
      </c>
      <c r="D46" s="394">
        <f t="shared" si="9"/>
        <v>0</v>
      </c>
      <c r="E46" s="394">
        <f t="shared" si="9"/>
        <v>0</v>
      </c>
      <c r="F46" s="394">
        <f t="shared" si="9"/>
        <v>0</v>
      </c>
      <c r="G46" s="394">
        <f t="shared" si="9"/>
        <v>0</v>
      </c>
      <c r="H46" s="394">
        <f t="shared" si="9"/>
        <v>0</v>
      </c>
    </row>
    <row r="47" spans="1:8" ht="12.75">
      <c r="A47" s="152" t="s">
        <v>387</v>
      </c>
      <c r="B47" s="151"/>
      <c r="C47" s="281">
        <f t="shared" si="8"/>
        <v>0</v>
      </c>
      <c r="D47" s="394">
        <f t="shared" si="9"/>
        <v>0</v>
      </c>
      <c r="E47" s="394">
        <f t="shared" si="9"/>
        <v>0</v>
      </c>
      <c r="F47" s="394">
        <f t="shared" si="9"/>
        <v>0</v>
      </c>
      <c r="G47" s="394">
        <f t="shared" si="9"/>
        <v>0</v>
      </c>
      <c r="H47" s="394">
        <f t="shared" si="9"/>
        <v>0</v>
      </c>
    </row>
    <row r="48" spans="1:8" ht="12.75">
      <c r="A48" s="152" t="s">
        <v>388</v>
      </c>
      <c r="B48" s="151"/>
      <c r="C48" s="281">
        <f t="shared" si="8"/>
        <v>0</v>
      </c>
      <c r="D48" s="394">
        <f t="shared" si="9"/>
        <v>0</v>
      </c>
      <c r="E48" s="394">
        <f t="shared" si="9"/>
        <v>0</v>
      </c>
      <c r="F48" s="394">
        <f t="shared" si="9"/>
        <v>0</v>
      </c>
      <c r="G48" s="394">
        <f t="shared" si="9"/>
        <v>0</v>
      </c>
      <c r="H48" s="394">
        <f t="shared" si="9"/>
        <v>0</v>
      </c>
    </row>
    <row r="49" spans="1:8" ht="12.75">
      <c r="A49" s="653" t="s">
        <v>271</v>
      </c>
      <c r="B49" s="654"/>
      <c r="C49" s="395">
        <f aca="true" t="shared" si="10" ref="C49:H49">+SUM(C42:C48)</f>
        <v>0</v>
      </c>
      <c r="D49" s="395">
        <f t="shared" si="10"/>
        <v>0</v>
      </c>
      <c r="E49" s="395">
        <f t="shared" si="10"/>
        <v>0</v>
      </c>
      <c r="F49" s="395">
        <f t="shared" si="10"/>
        <v>0</v>
      </c>
      <c r="G49" s="395">
        <f t="shared" si="10"/>
        <v>0</v>
      </c>
      <c r="H49" s="395">
        <f t="shared" si="10"/>
        <v>0</v>
      </c>
    </row>
    <row r="50" spans="1:8" ht="12.75">
      <c r="A50" s="150" t="s">
        <v>272</v>
      </c>
      <c r="B50" s="151"/>
      <c r="C50" s="154"/>
      <c r="D50" s="154"/>
      <c r="E50" s="154"/>
      <c r="F50" s="154"/>
      <c r="G50" s="154"/>
      <c r="H50" s="154"/>
    </row>
    <row r="51" spans="1:8" ht="12.75">
      <c r="A51" s="277" t="s">
        <v>159</v>
      </c>
      <c r="B51" s="151"/>
      <c r="C51" s="396">
        <f>+C23</f>
        <v>0</v>
      </c>
      <c r="D51" s="396">
        <f aca="true" t="shared" si="11" ref="D51:H55">+C51+D23</f>
        <v>0</v>
      </c>
      <c r="E51" s="396">
        <f t="shared" si="11"/>
        <v>0</v>
      </c>
      <c r="F51" s="396">
        <f t="shared" si="11"/>
        <v>0</v>
      </c>
      <c r="G51" s="396">
        <f t="shared" si="11"/>
        <v>0</v>
      </c>
      <c r="H51" s="396">
        <f t="shared" si="11"/>
        <v>0</v>
      </c>
    </row>
    <row r="52" spans="1:8" ht="12.75">
      <c r="A52" s="277" t="s">
        <v>378</v>
      </c>
      <c r="B52" s="151"/>
      <c r="C52" s="396">
        <f>+C24</f>
        <v>0</v>
      </c>
      <c r="D52" s="396">
        <f t="shared" si="11"/>
        <v>0</v>
      </c>
      <c r="E52" s="396">
        <f t="shared" si="11"/>
        <v>0</v>
      </c>
      <c r="F52" s="396">
        <f t="shared" si="11"/>
        <v>0</v>
      </c>
      <c r="G52" s="396">
        <f t="shared" si="11"/>
        <v>0</v>
      </c>
      <c r="H52" s="396">
        <f t="shared" si="11"/>
        <v>0</v>
      </c>
    </row>
    <row r="53" spans="1:8" ht="12.75">
      <c r="A53" s="277" t="s">
        <v>379</v>
      </c>
      <c r="B53" s="151"/>
      <c r="C53" s="396">
        <f>+C25</f>
        <v>0</v>
      </c>
      <c r="D53" s="396">
        <f t="shared" si="11"/>
        <v>0</v>
      </c>
      <c r="E53" s="396">
        <f t="shared" si="11"/>
        <v>0</v>
      </c>
      <c r="F53" s="396">
        <f t="shared" si="11"/>
        <v>0</v>
      </c>
      <c r="G53" s="396">
        <f t="shared" si="11"/>
        <v>0</v>
      </c>
      <c r="H53" s="396">
        <f t="shared" si="11"/>
        <v>0</v>
      </c>
    </row>
    <row r="54" spans="1:8" ht="12.75">
      <c r="A54" s="277" t="s">
        <v>380</v>
      </c>
      <c r="B54" s="151"/>
      <c r="C54" s="396">
        <f>+C26</f>
        <v>0</v>
      </c>
      <c r="D54" s="396">
        <f t="shared" si="11"/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</row>
    <row r="55" spans="1:8" ht="12.75">
      <c r="A55" s="277" t="s">
        <v>381</v>
      </c>
      <c r="B55" s="151"/>
      <c r="C55" s="396">
        <f>+C27</f>
        <v>0</v>
      </c>
      <c r="D55" s="396">
        <f t="shared" si="11"/>
        <v>0</v>
      </c>
      <c r="E55" s="396">
        <f t="shared" si="11"/>
        <v>0</v>
      </c>
      <c r="F55" s="396">
        <f t="shared" si="11"/>
        <v>0</v>
      </c>
      <c r="G55" s="396">
        <f t="shared" si="11"/>
        <v>0</v>
      </c>
      <c r="H55" s="396">
        <f t="shared" si="11"/>
        <v>0</v>
      </c>
    </row>
    <row r="56" spans="1:8" ht="12.75">
      <c r="A56" s="653" t="s">
        <v>273</v>
      </c>
      <c r="B56" s="654"/>
      <c r="C56" s="395">
        <f aca="true" t="shared" si="12" ref="C56:H56">+SUM(C51:C55)</f>
        <v>0</v>
      </c>
      <c r="D56" s="395">
        <f t="shared" si="12"/>
        <v>0</v>
      </c>
      <c r="E56" s="395">
        <f t="shared" si="12"/>
        <v>0</v>
      </c>
      <c r="F56" s="395">
        <f t="shared" si="12"/>
        <v>0</v>
      </c>
      <c r="G56" s="395">
        <f t="shared" si="12"/>
        <v>0</v>
      </c>
      <c r="H56" s="395">
        <f t="shared" si="12"/>
        <v>0</v>
      </c>
    </row>
    <row r="57" spans="1:8" ht="13.5" thickBot="1">
      <c r="A57" s="649" t="s">
        <v>173</v>
      </c>
      <c r="B57" s="649"/>
      <c r="C57" s="155">
        <f aca="true" t="shared" si="13" ref="C57:H57">+C40+C49+C56</f>
        <v>0</v>
      </c>
      <c r="D57" s="155">
        <f t="shared" si="13"/>
        <v>0</v>
      </c>
      <c r="E57" s="155">
        <f t="shared" si="13"/>
        <v>0</v>
      </c>
      <c r="F57" s="155">
        <f t="shared" si="13"/>
        <v>0</v>
      </c>
      <c r="G57" s="155">
        <f t="shared" si="13"/>
        <v>0</v>
      </c>
      <c r="H57" s="155">
        <f t="shared" si="13"/>
        <v>0</v>
      </c>
    </row>
    <row r="58" spans="1:8" ht="13.5" thickTop="1">
      <c r="A58" s="160"/>
      <c r="B58" s="160"/>
      <c r="C58" s="161"/>
      <c r="D58" s="161"/>
      <c r="E58" s="161"/>
      <c r="F58" s="161"/>
      <c r="G58" s="161"/>
      <c r="H58" s="161"/>
    </row>
    <row r="59" spans="1:8" ht="12.75">
      <c r="A59" s="160"/>
      <c r="B59" s="160"/>
      <c r="C59" s="161"/>
      <c r="D59" s="161"/>
      <c r="E59" s="161"/>
      <c r="F59" s="161"/>
      <c r="G59" s="161"/>
      <c r="H59" s="161"/>
    </row>
    <row r="60" spans="1:8" ht="12.75">
      <c r="A60" s="656" t="s">
        <v>389</v>
      </c>
      <c r="B60" s="657"/>
      <c r="C60" s="658"/>
      <c r="D60" s="661" t="s">
        <v>501</v>
      </c>
      <c r="E60" s="661"/>
      <c r="F60" s="661"/>
      <c r="G60" s="661"/>
      <c r="H60" s="161"/>
    </row>
    <row r="61" spans="1:8" ht="12.75">
      <c r="A61" s="284" t="s">
        <v>367</v>
      </c>
      <c r="B61" s="285"/>
      <c r="C61" s="286"/>
      <c r="D61" s="661"/>
      <c r="E61" s="661"/>
      <c r="F61" s="661"/>
      <c r="G61" s="661"/>
      <c r="H61" s="161"/>
    </row>
    <row r="62" spans="1:8" ht="12.75">
      <c r="A62" s="277" t="s">
        <v>369</v>
      </c>
      <c r="B62" s="151"/>
      <c r="C62" s="478">
        <v>0.04</v>
      </c>
      <c r="D62" s="161"/>
      <c r="E62" s="161"/>
      <c r="F62" s="161"/>
      <c r="G62" s="161"/>
      <c r="H62" s="161"/>
    </row>
    <row r="63" spans="1:8" ht="12.75">
      <c r="A63" s="277" t="s">
        <v>370</v>
      </c>
      <c r="B63" s="151"/>
      <c r="C63" s="478">
        <v>0.2</v>
      </c>
      <c r="D63" s="161"/>
      <c r="E63" s="161"/>
      <c r="F63" s="161"/>
      <c r="G63" s="161"/>
      <c r="H63" s="161"/>
    </row>
    <row r="64" spans="1:8" ht="12.75">
      <c r="A64" s="150" t="s">
        <v>372</v>
      </c>
      <c r="B64" s="151"/>
      <c r="C64" s="287"/>
      <c r="D64" s="161"/>
      <c r="E64" s="161"/>
      <c r="F64" s="161"/>
      <c r="G64" s="161"/>
      <c r="H64" s="161"/>
    </row>
    <row r="65" spans="1:8" ht="12.75">
      <c r="A65" s="277" t="s">
        <v>369</v>
      </c>
      <c r="B65" s="151"/>
      <c r="C65" s="478">
        <v>0.05</v>
      </c>
      <c r="D65" s="418"/>
      <c r="E65" s="161"/>
      <c r="F65" s="161"/>
      <c r="G65" s="161"/>
      <c r="H65" s="161"/>
    </row>
    <row r="66" spans="1:8" ht="12.75">
      <c r="A66" s="277" t="s">
        <v>373</v>
      </c>
      <c r="B66" s="151"/>
      <c r="C66" s="478">
        <v>0.125</v>
      </c>
      <c r="D66" s="161"/>
      <c r="E66" s="161"/>
      <c r="F66" s="161"/>
      <c r="G66" s="161"/>
      <c r="H66" s="161"/>
    </row>
    <row r="67" spans="1:8" ht="12.75">
      <c r="A67" s="277" t="s">
        <v>374</v>
      </c>
      <c r="B67" s="151"/>
      <c r="C67" s="478">
        <v>0.25</v>
      </c>
      <c r="D67" s="161"/>
      <c r="E67" s="161"/>
      <c r="F67" s="161"/>
      <c r="G67" s="161"/>
      <c r="H67" s="161"/>
    </row>
    <row r="68" spans="1:8" ht="12.75">
      <c r="A68" s="277" t="s">
        <v>375</v>
      </c>
      <c r="B68" s="151"/>
      <c r="C68" s="478">
        <v>0.25</v>
      </c>
      <c r="D68" s="161"/>
      <c r="E68" s="161"/>
      <c r="F68" s="161"/>
      <c r="G68" s="161"/>
      <c r="H68" s="161"/>
    </row>
    <row r="69" spans="1:8" ht="12.75">
      <c r="A69" s="277" t="s">
        <v>376</v>
      </c>
      <c r="B69" s="151"/>
      <c r="C69" s="478">
        <v>0.2</v>
      </c>
      <c r="D69" s="161"/>
      <c r="E69" s="161"/>
      <c r="F69" s="161"/>
      <c r="G69" s="161"/>
      <c r="H69" s="161"/>
    </row>
    <row r="70" spans="1:8" ht="12.75">
      <c r="A70" s="277" t="s">
        <v>377</v>
      </c>
      <c r="B70" s="151"/>
      <c r="C70" s="478">
        <v>0.25</v>
      </c>
      <c r="D70" s="161"/>
      <c r="E70" s="161"/>
      <c r="F70" s="161"/>
      <c r="G70" s="161"/>
      <c r="H70" s="161"/>
    </row>
    <row r="71" spans="1:8" ht="12.75">
      <c r="A71" s="150" t="s">
        <v>272</v>
      </c>
      <c r="B71" s="151"/>
      <c r="C71" s="287"/>
      <c r="D71" s="161"/>
      <c r="E71" s="161"/>
      <c r="F71" s="161"/>
      <c r="G71" s="161"/>
      <c r="H71" s="161"/>
    </row>
    <row r="72" spans="1:8" ht="12.75">
      <c r="A72" s="277" t="s">
        <v>378</v>
      </c>
      <c r="B72" s="151"/>
      <c r="C72" s="479">
        <f>0.333333333333333*100%</f>
        <v>0.3333333333333333</v>
      </c>
      <c r="D72" s="662" t="s">
        <v>276</v>
      </c>
      <c r="E72" s="663"/>
      <c r="F72" s="663"/>
      <c r="G72" s="663"/>
      <c r="H72" s="663"/>
    </row>
    <row r="73" spans="1:8" ht="12.75">
      <c r="A73" s="277" t="s">
        <v>379</v>
      </c>
      <c r="B73" s="151"/>
      <c r="C73" s="479">
        <f>0.333333333333333*100%</f>
        <v>0.3333333333333333</v>
      </c>
      <c r="D73" s="662"/>
      <c r="E73" s="663"/>
      <c r="F73" s="663"/>
      <c r="G73" s="663"/>
      <c r="H73" s="663"/>
    </row>
    <row r="74" spans="1:8" ht="12.75">
      <c r="A74" s="277" t="s">
        <v>380</v>
      </c>
      <c r="B74" s="151"/>
      <c r="C74" s="479">
        <f>0.333333333333333*100%</f>
        <v>0.3333333333333333</v>
      </c>
      <c r="D74" s="161"/>
      <c r="E74" s="161"/>
      <c r="F74" s="161"/>
      <c r="G74" s="161"/>
      <c r="H74" s="161"/>
    </row>
    <row r="75" spans="1:8" ht="12.75">
      <c r="A75" s="277" t="s">
        <v>381</v>
      </c>
      <c r="B75" s="151"/>
      <c r="C75" s="479">
        <f>0.333333333333333*100%</f>
        <v>0.3333333333333333</v>
      </c>
      <c r="D75" s="161"/>
      <c r="E75" s="161"/>
      <c r="F75" s="161"/>
      <c r="G75" s="161"/>
      <c r="H75" s="161"/>
    </row>
    <row r="76" spans="1:8" ht="12.75">
      <c r="A76" s="160"/>
      <c r="B76" s="160"/>
      <c r="C76" s="161"/>
      <c r="D76" s="161"/>
      <c r="E76" s="161"/>
      <c r="F76" s="161"/>
      <c r="G76" s="161"/>
      <c r="H76" s="161"/>
    </row>
    <row r="77" spans="1:8" ht="12.75" hidden="1">
      <c r="A77" s="163" t="s">
        <v>175</v>
      </c>
      <c r="B77" s="164"/>
      <c r="C77" s="149">
        <f>+C7</f>
        <v>2019</v>
      </c>
      <c r="D77" s="149">
        <f>+C77+1</f>
        <v>2020</v>
      </c>
      <c r="E77" s="149">
        <f>+D77+1</f>
        <v>2021</v>
      </c>
      <c r="F77" s="149">
        <f>+E77+1</f>
        <v>2022</v>
      </c>
      <c r="G77" s="149">
        <f>+F77+1</f>
        <v>2023</v>
      </c>
      <c r="H77" s="149">
        <f>+G77+1</f>
        <v>2024</v>
      </c>
    </row>
    <row r="78" spans="1:8" ht="12.75" hidden="1">
      <c r="A78" s="292" t="s">
        <v>138</v>
      </c>
      <c r="B78" s="366"/>
      <c r="C78" s="288"/>
      <c r="D78" s="288"/>
      <c r="E78" s="288"/>
      <c r="F78" s="288"/>
      <c r="G78" s="288"/>
      <c r="H78" s="288"/>
    </row>
    <row r="79" spans="1:8" ht="12.75" hidden="1">
      <c r="A79" s="397" t="s">
        <v>139</v>
      </c>
      <c r="B79" s="398">
        <f>+C62</f>
        <v>0.04</v>
      </c>
      <c r="C79" s="399">
        <f aca="true" t="shared" si="14" ref="C79:H79">SUM(C80:C85)</f>
        <v>0</v>
      </c>
      <c r="D79" s="399">
        <f t="shared" si="14"/>
        <v>0</v>
      </c>
      <c r="E79" s="399">
        <f t="shared" si="14"/>
        <v>0</v>
      </c>
      <c r="F79" s="399">
        <f t="shared" si="14"/>
        <v>0</v>
      </c>
      <c r="G79" s="399">
        <f t="shared" si="14"/>
        <v>0</v>
      </c>
      <c r="H79" s="399">
        <f t="shared" si="14"/>
        <v>0</v>
      </c>
    </row>
    <row r="80" spans="1:8" ht="12.75" hidden="1">
      <c r="A80" s="368">
        <f>C77</f>
        <v>2019</v>
      </c>
      <c r="B80" s="369"/>
      <c r="C80" s="390">
        <f>+IF(C$10&lt;0,0,C$10*$B$79)/12*C$31</f>
        <v>0</v>
      </c>
      <c r="D80" s="404">
        <f>+IF(AND(C80&gt;0,C10&gt;0),+IF(ROUNDUP(SUM($C80:C80),0)&lt;C10,+C10*$B79*(C$31/12)),C10*$B79*(D$31/12))</f>
        <v>0</v>
      </c>
      <c r="E80" s="375">
        <f>+IF(D80=0,0,+IF(ROUNDUP(SUM($C80:D80),0)&lt;$C$10,MIN(($C$10-SUM($C80:D80)),$C$10*$B$79),0))</f>
        <v>0</v>
      </c>
      <c r="F80" s="375">
        <f>+IF(E80=0,0,+IF(ROUNDUP(SUM($C80:E80),0)&lt;$C$10,MIN(($C$10-SUM($C80:E80)),$C$10*$B$79),0))</f>
        <v>0</v>
      </c>
      <c r="G80" s="375">
        <f>+IF(F80=0,0,+IF(ROUNDUP(SUM($C80:F80),0)&lt;$C$10,MIN(($C$10-SUM($C80:F80)),$C$10*$B$79),0))</f>
        <v>0</v>
      </c>
      <c r="H80" s="375">
        <f>+IF(G80=0,0,+IF(ROUNDUP(SUM($C80:G80),0)&lt;$C$10,MIN(($C$10-SUM($C80:G80)),$C$10*$B$79),0))</f>
        <v>0</v>
      </c>
    </row>
    <row r="81" spans="1:8" ht="12.75" hidden="1">
      <c r="A81" s="368">
        <f>A80+1</f>
        <v>2020</v>
      </c>
      <c r="B81" s="369"/>
      <c r="C81" s="370"/>
      <c r="D81" s="390">
        <f>+IF(D$10&lt;0,0,D$10*$B$79)/12*D$31</f>
        <v>0</v>
      </c>
      <c r="E81" s="375">
        <f>+IF(D81=0,0,+IF(ROUNDUP(SUM(D$81:$D81),0)&lt;$D$10,MIN(($D$10-SUM($D81:D81)),$D$10*$B$79),0))</f>
        <v>0</v>
      </c>
      <c r="F81" s="375">
        <f>+IF(E81=0,0,+IF(ROUNDUP(SUM($D$81:E81),0)&lt;$D$10,MIN(($D$10-SUM($D81:E81)),$D$10*$B$79),0))</f>
        <v>0</v>
      </c>
      <c r="G81" s="375">
        <f>+IF(F81=0,0,+IF(ROUNDUP(SUM($D$81:F81),0)&lt;$D$10,MIN(($D$10-SUM($D81:F81)),$D$10*$B$79),0))</f>
        <v>0</v>
      </c>
      <c r="H81" s="375">
        <f>+IF(G81=0,0,+IF(ROUNDUP(SUM($D$81:G81),0)&lt;$D$10,MIN(($D$10-SUM($D81:G81)),$D$10*$B$79),0))</f>
        <v>0</v>
      </c>
    </row>
    <row r="82" spans="1:8" ht="12.75" hidden="1">
      <c r="A82" s="368">
        <f>A81+1</f>
        <v>2021</v>
      </c>
      <c r="B82" s="369"/>
      <c r="C82" s="370"/>
      <c r="D82" s="370"/>
      <c r="E82" s="390">
        <f>+IF(E$10&lt;0,0,E$10*$B$79)/12*E$31</f>
        <v>0</v>
      </c>
      <c r="F82" s="375">
        <f>+IF(E82=0,0,+IF(ROUNDUP(SUM($E$81:E82),0)&lt;$E$10,MIN(($E$10-SUM($E82:E82)),$E$10*$B$79),0))</f>
        <v>0</v>
      </c>
      <c r="G82" s="375">
        <f>+IF(F82=0,0,+IF(ROUNDUP(SUM($E$81:F82),0)&lt;$E$10,MIN(($E$10-SUM($E82:F82)),$E$10*$B$79),0))</f>
        <v>0</v>
      </c>
      <c r="H82" s="375">
        <f>+IF(G82=0,0,+IF(ROUNDUP(SUM($E$81:G82),0)&lt;$E$10,MIN(($E$10-SUM($E82:G82)),$E$10*$B$79),0))</f>
        <v>0</v>
      </c>
    </row>
    <row r="83" spans="1:8" ht="12.75" hidden="1">
      <c r="A83" s="368">
        <f>A82+1</f>
        <v>2022</v>
      </c>
      <c r="B83" s="369"/>
      <c r="C83" s="370"/>
      <c r="D83" s="370"/>
      <c r="E83" s="370"/>
      <c r="F83" s="390">
        <f>+IF(F$10&lt;0,0,F$10*$B$79)/12*F$31</f>
        <v>0</v>
      </c>
      <c r="G83" s="375">
        <f>+IF(F83=0,0,+IF(ROUNDUP(SUM($F$81:F83),0)&lt;$F$10,MIN(($F$10-SUM($F83:F83)),$F$10*$B$79),0))</f>
        <v>0</v>
      </c>
      <c r="H83" s="375">
        <f>+IF(G83=0,0,+IF(ROUNDUP(SUM($F$81:G83),0)&lt;$F$10,MIN(($F$10-SUM($F83:G83)),$F$10*$B$79),0))</f>
        <v>0</v>
      </c>
    </row>
    <row r="84" spans="1:8" ht="12.75" hidden="1">
      <c r="A84" s="368">
        <f>A83+1</f>
        <v>2023</v>
      </c>
      <c r="B84" s="369"/>
      <c r="C84" s="370"/>
      <c r="D84" s="370"/>
      <c r="E84" s="370"/>
      <c r="F84" s="370"/>
      <c r="G84" s="390">
        <f>+IF(G$10&lt;0,0,G$10*$B$79)/12*G$31</f>
        <v>0</v>
      </c>
      <c r="H84" s="375">
        <f>+IF(G84=0,0,+IF(ROUNDUP(SUM($G$81:G84),0)&lt;$G$10,MIN(($G$10-SUM($G84:G84)),$G$10*$B$79),0))</f>
        <v>0</v>
      </c>
    </row>
    <row r="85" spans="1:8" ht="12.75" hidden="1">
      <c r="A85" s="368">
        <f>A84+1</f>
        <v>2024</v>
      </c>
      <c r="B85" s="369"/>
      <c r="C85" s="370"/>
      <c r="D85" s="370"/>
      <c r="E85" s="370"/>
      <c r="F85" s="370"/>
      <c r="G85" s="370"/>
      <c r="H85" s="390">
        <f>+IF(H$10&lt;0,0,H$10*$B$79)/12*H$31</f>
        <v>0</v>
      </c>
    </row>
    <row r="86" spans="1:8" ht="12.75" hidden="1">
      <c r="A86" s="401" t="s">
        <v>140</v>
      </c>
      <c r="B86" s="398">
        <f>+C63</f>
        <v>0.2</v>
      </c>
      <c r="C86" s="399">
        <f aca="true" t="shared" si="15" ref="C86:H86">SUM(C87:C92)</f>
        <v>0</v>
      </c>
      <c r="D86" s="399">
        <f t="shared" si="15"/>
        <v>0</v>
      </c>
      <c r="E86" s="399">
        <f t="shared" si="15"/>
        <v>0</v>
      </c>
      <c r="F86" s="399">
        <f t="shared" si="15"/>
        <v>0</v>
      </c>
      <c r="G86" s="399">
        <f t="shared" si="15"/>
        <v>0</v>
      </c>
      <c r="H86" s="399">
        <f t="shared" si="15"/>
        <v>0</v>
      </c>
    </row>
    <row r="87" spans="1:8" ht="12.75" hidden="1">
      <c r="A87" s="368">
        <f aca="true" t="shared" si="16" ref="A87:A92">A80</f>
        <v>2019</v>
      </c>
      <c r="B87" s="369"/>
      <c r="C87" s="390">
        <f>+IF(C$11&lt;0,0,C$11*$B$86)/12*$C$31</f>
        <v>0</v>
      </c>
      <c r="D87" s="404">
        <f>+IF(AND(C87&gt;0,C11&gt;0),+IF(ROUNDUP(SUM($C87:C87),0)&lt;C11,+C11*$B86*(C$31/12)),C11*$B86*(D$31/12))</f>
        <v>0</v>
      </c>
      <c r="E87" s="370">
        <f>+IF(D87=0,0,+IF(ROUNDUP(SUM($C87:D87),0)&lt;$C$11,MIN(($C$11-SUM($C87:D87)),$C$11*$B$86),0))</f>
        <v>0</v>
      </c>
      <c r="F87" s="370">
        <f>+IF(E87=0,0,+IF(ROUNDUP(SUM($C87:E87),0)&lt;$C$11,MIN(($C$11-SUM($C87:E87)),$C$11*$B$86),0))</f>
        <v>0</v>
      </c>
      <c r="G87" s="370">
        <f>+IF(F87=0,0,+IF(ROUNDUP(SUM($C87:F87),0)&lt;$C$11,MIN(($C$11-SUM($C87:F87)),$C$11*$B$86),0))</f>
        <v>0</v>
      </c>
      <c r="H87" s="370">
        <f>+IF(G87=0,0,+IF(ROUNDUP(SUM($C87:G87),0)&lt;$C$11,MIN(($C$11-SUM($C87:G87)),$C$11*$B$86),0))</f>
        <v>0</v>
      </c>
    </row>
    <row r="88" spans="1:8" ht="12.75" hidden="1">
      <c r="A88" s="368">
        <f t="shared" si="16"/>
        <v>2020</v>
      </c>
      <c r="B88" s="369"/>
      <c r="C88" s="370"/>
      <c r="D88" s="390">
        <f>+IF(D$11&lt;0,0,D$11*$B$86)/12*$C$31</f>
        <v>0</v>
      </c>
      <c r="E88" s="370">
        <f>+IF(D88=0,0,+IF(ROUNDUP(SUM($D88:D88),0)&lt;$D$11,MIN(($D$11-SUM($D88:D88)),$D$11*$B$86),0))</f>
        <v>0</v>
      </c>
      <c r="F88" s="370">
        <f>+IF(E88=0,0,+IF(ROUNDUP(SUM($D88:E88),0)&lt;$D$11,MIN(($D$11-SUM($D88:E88)),$D$11*$B$86),0))</f>
        <v>0</v>
      </c>
      <c r="G88" s="370">
        <f>+IF(F88=0,0,+IF(ROUNDUP(SUM($D88:F88),0)&lt;$D$11,MIN(($D$11-SUM($D88:F88)),$D$11*$B$86),0))</f>
        <v>0</v>
      </c>
      <c r="H88" s="370">
        <f>+IF(G88=0,0,+IF(ROUNDUP(SUM($D88:G88),0)&lt;$D$11,MIN(($D$11-SUM($D88:G88)),$D$11*$B$86),0))</f>
        <v>0</v>
      </c>
    </row>
    <row r="89" spans="1:8" ht="12.75" hidden="1">
      <c r="A89" s="368">
        <f t="shared" si="16"/>
        <v>2021</v>
      </c>
      <c r="B89" s="369"/>
      <c r="C89" s="370"/>
      <c r="D89" s="370"/>
      <c r="E89" s="390">
        <f>+IF(E$11&lt;0,0,E$11*$B$86)/12*$C$31</f>
        <v>0</v>
      </c>
      <c r="F89" s="370">
        <f>+IF(E89=0,0,+IF(ROUNDUP(SUM($E89:E89),0)&lt;$E$11,MIN(($E$11-SUM($E89:E89)),$E$11*$B$86),0))</f>
        <v>0</v>
      </c>
      <c r="G89" s="370">
        <f>+IF(F89=0,0,+IF(ROUNDUP(SUM($E89:F89),0)&lt;$E$11,MIN(($E$11-SUM($E89:F89)),$E$11*$B$86),0))</f>
        <v>0</v>
      </c>
      <c r="H89" s="370">
        <f>+IF(G89=0,0,+IF(ROUNDUP(SUM($E89:G89),0)&lt;$E$11,MIN(($E$11-SUM($E89:G89)),$E$11*$B$86),0))</f>
        <v>0</v>
      </c>
    </row>
    <row r="90" spans="1:8" ht="12.75" hidden="1">
      <c r="A90" s="368">
        <f t="shared" si="16"/>
        <v>2022</v>
      </c>
      <c r="B90" s="369"/>
      <c r="C90" s="370"/>
      <c r="D90" s="370"/>
      <c r="E90" s="370"/>
      <c r="F90" s="390">
        <f>+IF(F$11&lt;0,0,F$11*$B$86)/12*$C$31</f>
        <v>0</v>
      </c>
      <c r="G90" s="370">
        <f>+IF(F90=0,0,+IF(ROUNDUP(SUM($F90:F90),0)&lt;$F$11,MIN(($F$11-SUM($F90:F90)),$F$11*$B$86),0))</f>
        <v>0</v>
      </c>
      <c r="H90" s="370">
        <f>+IF(G90=0,0,+IF(ROUNDUP(SUM($F90:G90),0)&lt;$F$11,MIN(($F$11-SUM($F90:G90)),$F$11*$B$86),0))</f>
        <v>0</v>
      </c>
    </row>
    <row r="91" spans="1:8" ht="12.75" hidden="1">
      <c r="A91" s="368">
        <f t="shared" si="16"/>
        <v>2023</v>
      </c>
      <c r="B91" s="369"/>
      <c r="C91" s="370"/>
      <c r="D91" s="370"/>
      <c r="E91" s="370"/>
      <c r="F91" s="370"/>
      <c r="G91" s="390">
        <f>+IF(G$11&lt;0,0,G$11*$B$86)/12*$C$31</f>
        <v>0</v>
      </c>
      <c r="H91" s="370">
        <f>+IF(G91=0,0,+IF(ROUNDUP(SUM($G91:G91),0)&lt;$G$11,MIN(($G$11-SUM($G91:G91)),$G$11*$B$86),0))</f>
        <v>0</v>
      </c>
    </row>
    <row r="92" spans="1:8" ht="12.75" hidden="1">
      <c r="A92" s="368">
        <f t="shared" si="16"/>
        <v>2024</v>
      </c>
      <c r="B92" s="369"/>
      <c r="C92" s="370"/>
      <c r="D92" s="370"/>
      <c r="E92" s="370"/>
      <c r="F92" s="370"/>
      <c r="G92" s="370"/>
      <c r="H92" s="390">
        <f>+IF(H$11&lt;0,0,H$11*$B$86)/12*$C$31</f>
        <v>0</v>
      </c>
    </row>
    <row r="93" spans="1:8" ht="12.75" hidden="1">
      <c r="A93" s="650" t="s">
        <v>31</v>
      </c>
      <c r="B93" s="650"/>
      <c r="C93" s="400">
        <f aca="true" t="shared" si="17" ref="C93:H93">+C79+C86</f>
        <v>0</v>
      </c>
      <c r="D93" s="400">
        <f t="shared" si="17"/>
        <v>0</v>
      </c>
      <c r="E93" s="400">
        <f t="shared" si="17"/>
        <v>0</v>
      </c>
      <c r="F93" s="400">
        <f t="shared" si="17"/>
        <v>0</v>
      </c>
      <c r="G93" s="400">
        <f t="shared" si="17"/>
        <v>0</v>
      </c>
      <c r="H93" s="400">
        <f t="shared" si="17"/>
        <v>0</v>
      </c>
    </row>
    <row r="94" spans="1:8" ht="12.75" hidden="1">
      <c r="A94" s="373" t="s">
        <v>141</v>
      </c>
      <c r="B94" s="371"/>
      <c r="C94" s="374"/>
      <c r="D94" s="374"/>
      <c r="E94" s="374"/>
      <c r="F94" s="374"/>
      <c r="G94" s="374"/>
      <c r="H94" s="374"/>
    </row>
    <row r="95" spans="1:8" ht="12.75" hidden="1">
      <c r="A95" s="402" t="s">
        <v>176</v>
      </c>
      <c r="B95" s="398">
        <f>+C65</f>
        <v>0.05</v>
      </c>
      <c r="C95" s="399">
        <f aca="true" t="shared" si="18" ref="C95:H95">SUM(C96:C101)</f>
        <v>0</v>
      </c>
      <c r="D95" s="399">
        <f t="shared" si="18"/>
        <v>0</v>
      </c>
      <c r="E95" s="399">
        <f t="shared" si="18"/>
        <v>0</v>
      </c>
      <c r="F95" s="399">
        <f t="shared" si="18"/>
        <v>0</v>
      </c>
      <c r="G95" s="399">
        <f t="shared" si="18"/>
        <v>0</v>
      </c>
      <c r="H95" s="399">
        <f t="shared" si="18"/>
        <v>0</v>
      </c>
    </row>
    <row r="96" spans="1:8" ht="12.75" hidden="1">
      <c r="A96" s="368">
        <f aca="true" t="shared" si="19" ref="A96:A101">A87</f>
        <v>2019</v>
      </c>
      <c r="B96" s="369"/>
      <c r="C96" s="390">
        <f>+IF(C$15&lt;0,0,C$15*$B$95)/12*C$31</f>
        <v>0</v>
      </c>
      <c r="D96" s="404">
        <f>+IF(AND(C96&gt;0,C15&gt;0),+IF(ROUNDUP(SUM($C96:C96),0)&lt;C15,+C15*$B95*(C$31/12)),C15*$B95*(D$31/12))</f>
        <v>0</v>
      </c>
      <c r="E96" s="370">
        <f>+IF(D96=0,0,+IF(ROUNDUP(SUM($C96:D96),0)&lt;$C$15,MIN(($C$15-SUM($C96:D96)),$C$15*$B$95),0))</f>
        <v>0</v>
      </c>
      <c r="F96" s="370">
        <f>+IF(E96=0,0,+IF(ROUNDUP(SUM($C96:E96),0)&lt;$C$15,MIN(($C$15-SUM($C96:E96)),$C$15*$B$95),0))</f>
        <v>0</v>
      </c>
      <c r="G96" s="370">
        <f>+IF(F96=0,0,+IF(ROUNDUP(SUM($C96:F96),0)&lt;$C$15,MIN(($C$15-SUM($C96:F96)),$C$15*$B$95),0))</f>
        <v>0</v>
      </c>
      <c r="H96" s="370">
        <f>+IF(G96=0,0,+IF(ROUNDUP(SUM($C96:G96),0)&lt;$C$15,MIN(($C$15-SUM($C96:G96)),$C$15*$B$95),0))</f>
        <v>0</v>
      </c>
    </row>
    <row r="97" spans="1:8" ht="12.75" hidden="1">
      <c r="A97" s="368">
        <f t="shared" si="19"/>
        <v>2020</v>
      </c>
      <c r="B97" s="369"/>
      <c r="C97" s="370"/>
      <c r="D97" s="390">
        <f>+IF(D$15&lt;0,0,D$15*$B$95)/12*D$31</f>
        <v>0</v>
      </c>
      <c r="E97" s="370">
        <f>+IF(D97=0,0,+IF(ROUNDUP(SUM($D97:D97),0)&lt;$D$15,MIN(($D$15-SUM($D97:D97)),$D$15*$B$95),0))</f>
        <v>0</v>
      </c>
      <c r="F97" s="370">
        <f>+IF(E97=0,0,+IF(ROUNDUP(SUM($D97:E97),0)&lt;$D$15,MIN(($D$15-SUM($D97:E97)),$D$15*$B$95),0))</f>
        <v>0</v>
      </c>
      <c r="G97" s="370">
        <f>+IF(F97=0,0,+IF(ROUNDUP(SUM($D97:F97),0)&lt;$D$15,MIN(($D$15-SUM($D97:F97)),$D$15*$B$95),0))</f>
        <v>0</v>
      </c>
      <c r="H97" s="370">
        <f>+IF(G97=0,0,+IF(ROUNDUP(SUM($D97:G97),0)&lt;$D$15,MIN(($D$15-SUM($D97:G97)),$D$15*$B$95),0))</f>
        <v>0</v>
      </c>
    </row>
    <row r="98" spans="1:8" ht="12.75" hidden="1">
      <c r="A98" s="368">
        <f t="shared" si="19"/>
        <v>2021</v>
      </c>
      <c r="B98" s="369"/>
      <c r="C98" s="370"/>
      <c r="D98" s="370"/>
      <c r="E98" s="390">
        <f>+IF(E$15&lt;0,0,E$15*$B$95)/12*E$31</f>
        <v>0</v>
      </c>
      <c r="F98" s="370">
        <f>+IF(E98=0,0,+IF(ROUNDUP(SUM($E98:E98),0)&lt;$E$15,MIN(($E$15-SUM($E98:E98)),$E$15*$B$95),0))</f>
        <v>0</v>
      </c>
      <c r="G98" s="370">
        <f>+IF(F98=0,0,+IF(ROUNDUP(SUM($E98:F98),0)&lt;$E$15,MIN(($E$15-SUM($E98:F98)),$E$15*$B$95),0))</f>
        <v>0</v>
      </c>
      <c r="H98" s="370">
        <f>+IF(G98=0,0,+IF(ROUNDUP(SUM($E98:G98),0)&lt;$E$15,MIN(($E$15-SUM($E98:G98)),$E$15*$B$95),0))</f>
        <v>0</v>
      </c>
    </row>
    <row r="99" spans="1:8" ht="12.75" hidden="1">
      <c r="A99" s="368">
        <f t="shared" si="19"/>
        <v>2022</v>
      </c>
      <c r="B99" s="369"/>
      <c r="C99" s="370"/>
      <c r="D99" s="370"/>
      <c r="E99" s="370"/>
      <c r="F99" s="390">
        <f>+IF(F$15&lt;0,0,F$15*$B$95)/12*F$31</f>
        <v>0</v>
      </c>
      <c r="G99" s="370">
        <f>+IF(F99=0,0,+IF(ROUNDUP(SUM($F99:F99),0)&lt;$F$15,MIN(($F$15-SUM($F99:F99)),$F$15*$B$95),0))</f>
        <v>0</v>
      </c>
      <c r="H99" s="370">
        <f>+IF(G99=0,0,+IF(ROUNDUP(SUM($F99:G99),0)&lt;$F$15,MIN(($F$15-SUM($F99:G99)),$F$15*$B$95),0))</f>
        <v>0</v>
      </c>
    </row>
    <row r="100" spans="1:8" ht="12.75" hidden="1">
      <c r="A100" s="368">
        <f t="shared" si="19"/>
        <v>2023</v>
      </c>
      <c r="B100" s="369"/>
      <c r="C100" s="370"/>
      <c r="D100" s="370"/>
      <c r="E100" s="370"/>
      <c r="F100" s="370"/>
      <c r="G100" s="390">
        <f>+IF(G$15&lt;0,0,G$15*$B$95)/12*G$31</f>
        <v>0</v>
      </c>
      <c r="H100" s="370">
        <f>+IF(G100=0,0,+IF(ROUNDUP(SUM($G100:G100),0)&lt;$G$15,MIN(($G$15-SUM($G100:G100)),$G$15*$B$95),0))</f>
        <v>0</v>
      </c>
    </row>
    <row r="101" spans="1:8" ht="12.75" hidden="1">
      <c r="A101" s="368">
        <f t="shared" si="19"/>
        <v>2024</v>
      </c>
      <c r="B101" s="369"/>
      <c r="C101" s="370"/>
      <c r="D101" s="370"/>
      <c r="E101" s="370"/>
      <c r="F101" s="370"/>
      <c r="G101" s="370"/>
      <c r="H101" s="390">
        <f>+IF(H$15&lt;0,0,H$15*$B$95)/12*H$31</f>
        <v>0</v>
      </c>
    </row>
    <row r="102" spans="1:8" ht="12.75" hidden="1">
      <c r="A102" s="402" t="s">
        <v>179</v>
      </c>
      <c r="B102" s="398">
        <f>+C66</f>
        <v>0.125</v>
      </c>
      <c r="C102" s="399">
        <f aca="true" t="shared" si="20" ref="C102:H102">SUM(C103:C108)</f>
        <v>0</v>
      </c>
      <c r="D102" s="399">
        <f t="shared" si="20"/>
        <v>0</v>
      </c>
      <c r="E102" s="399">
        <f t="shared" si="20"/>
        <v>0</v>
      </c>
      <c r="F102" s="399">
        <f t="shared" si="20"/>
        <v>0</v>
      </c>
      <c r="G102" s="399">
        <f t="shared" si="20"/>
        <v>0</v>
      </c>
      <c r="H102" s="399">
        <f t="shared" si="20"/>
        <v>0</v>
      </c>
    </row>
    <row r="103" spans="1:8" ht="12.75" hidden="1">
      <c r="A103" s="368">
        <f aca="true" t="shared" si="21" ref="A103:A136">A96</f>
        <v>2019</v>
      </c>
      <c r="B103" s="369"/>
      <c r="C103" s="390">
        <f>+IF(C$16&lt;0,0,C$16*$B$102)/12*C$31</f>
        <v>0</v>
      </c>
      <c r="D103" s="404">
        <f>+IF(AND(C103&gt;0,C16&gt;0),+IF(ROUNDUP(SUM($C103:C103),0)&lt;C16,+C16*$B102*(C$31/12)),C16*$B102*(D$31/12))</f>
        <v>0</v>
      </c>
      <c r="E103" s="370">
        <f>+IF(D103=0,0,+IF(ROUNDUP(SUM($C103:D103),0)&lt;$C$16,MIN(($C$16-SUM($C103:D103)),+$C$16*$B$102),0))</f>
        <v>0</v>
      </c>
      <c r="F103" s="370">
        <f>+IF(E103=0,0,+IF(ROUNDUP(SUM($C103:E103),0)&lt;$C$16,MIN(($C$16-SUM($C103:E103)),+$C$16*$B$102),0))</f>
        <v>0</v>
      </c>
      <c r="G103" s="370">
        <f>+IF(F103=0,0,+IF(ROUNDUP(SUM($C103:F103),0)&lt;$C$16,MIN(($C$16-SUM($C103:F103)),+$C$16*$B$102),0))</f>
        <v>0</v>
      </c>
      <c r="H103" s="370">
        <f>+IF(G103=0,0,+IF(ROUNDUP(SUM($C103:G103),0)&lt;$C$16,MIN(($C$16-SUM($C103:G103)),+$C$16*$B$102),0))</f>
        <v>0</v>
      </c>
    </row>
    <row r="104" spans="1:8" ht="12.75" hidden="1">
      <c r="A104" s="368">
        <f t="shared" si="21"/>
        <v>2020</v>
      </c>
      <c r="B104" s="369"/>
      <c r="C104" s="370"/>
      <c r="D104" s="390">
        <f>+IF(D$16&lt;0,0,D$16*$B$102)/12*D$31</f>
        <v>0</v>
      </c>
      <c r="E104" s="370">
        <f>+IF(D104=0,0,+IF(ROUNDUP(SUM($D104:D104),0)&lt;$D$16,MIN(($D$16-SUM($D104:D104)),+$D$16*$B$102),0))</f>
        <v>0</v>
      </c>
      <c r="F104" s="370">
        <f>+IF(E104=0,0,+IF(ROUNDUP(SUM($D104:E104),0)&lt;$D$16,MIN(($D$16-SUM($D104:E104)),+$D$16*$B$102),0))</f>
        <v>0</v>
      </c>
      <c r="G104" s="370">
        <f>+IF(F104=0,0,+IF(ROUNDUP(SUM($D104:F104),0)&lt;$D$16,MIN(($D$16-SUM($D104:F104)),+$D$16*$B$102),0))</f>
        <v>0</v>
      </c>
      <c r="H104" s="370">
        <f>+IF(G104=0,0,+IF(ROUNDUP(SUM($D104:G104),0)&lt;$D$16,MIN(($D$16-SUM($D104:G104)),+$D$16*$B$102),0))</f>
        <v>0</v>
      </c>
    </row>
    <row r="105" spans="1:8" ht="12.75" hidden="1">
      <c r="A105" s="368">
        <f t="shared" si="21"/>
        <v>2021</v>
      </c>
      <c r="B105" s="369"/>
      <c r="C105" s="370"/>
      <c r="D105" s="370"/>
      <c r="E105" s="390">
        <f>+IF(E$16&lt;0,0,E$16*$B$102)/12*E$31</f>
        <v>0</v>
      </c>
      <c r="F105" s="370">
        <f>+IF(E105=0,0,+IF(ROUNDUP(SUM($E105:E105),0)&lt;$E$16,MIN(($E$16-SUM($E105:E105)),+$E$16*$B$102),0))</f>
        <v>0</v>
      </c>
      <c r="G105" s="370">
        <f>+IF(F105=0,0,+IF(ROUNDUP(SUM($E105:F105),0)&lt;$E$16,MIN(($E$16-SUM($E105:F105)),+$E$16*$B$102),0))</f>
        <v>0</v>
      </c>
      <c r="H105" s="370">
        <f>+IF(G105=0,0,+IF(ROUNDUP(SUM($E105:G105),0)&lt;$E$16,MIN(($E$16-SUM($E105:G105)),+$E$16*$B$102),0))</f>
        <v>0</v>
      </c>
    </row>
    <row r="106" spans="1:8" ht="12.75" hidden="1">
      <c r="A106" s="368">
        <f t="shared" si="21"/>
        <v>2022</v>
      </c>
      <c r="B106" s="369"/>
      <c r="C106" s="370"/>
      <c r="D106" s="370"/>
      <c r="E106" s="370"/>
      <c r="F106" s="390">
        <f>+IF(F$16&lt;0,0,F$16*$B$102)/12*F$31</f>
        <v>0</v>
      </c>
      <c r="G106" s="370">
        <f>+IF(F106=0,0,+IF(ROUNDUP(SUM($F106:F106),0)&lt;$F$16,MIN(($F$16-SUM($F106:F106)),+$F$16*$B$102),0))</f>
        <v>0</v>
      </c>
      <c r="H106" s="370">
        <f>+IF(G106=0,0,+IF(ROUNDUP(SUM($F106:G106),0)&lt;$F$16,MIN(($F$16-SUM($F106:G106)),+$F$16*$B$102),0))</f>
        <v>0</v>
      </c>
    </row>
    <row r="107" spans="1:8" ht="12.75" hidden="1">
      <c r="A107" s="368">
        <f t="shared" si="21"/>
        <v>2023</v>
      </c>
      <c r="B107" s="369"/>
      <c r="C107" s="370"/>
      <c r="D107" s="370"/>
      <c r="E107" s="370"/>
      <c r="F107" s="370"/>
      <c r="G107" s="390">
        <f>+IF(G$16&lt;0,0,G$16*$B$102)/12*G$31</f>
        <v>0</v>
      </c>
      <c r="H107" s="370">
        <f>+IF(G107=0,0,+IF(ROUNDUP(SUM($G107:G107),0)&lt;$G$16,MIN(($G$16-SUM($G107:G107)),+$G$16*$B$102),0))</f>
        <v>0</v>
      </c>
    </row>
    <row r="108" spans="1:8" ht="12.75" hidden="1">
      <c r="A108" s="368">
        <f t="shared" si="21"/>
        <v>2024</v>
      </c>
      <c r="B108" s="369"/>
      <c r="C108" s="370"/>
      <c r="D108" s="370"/>
      <c r="E108" s="370"/>
      <c r="F108" s="370"/>
      <c r="G108" s="370"/>
      <c r="H108" s="390">
        <f>+IF(H$16&lt;0,0,H$16*$B$102)/12*H$31</f>
        <v>0</v>
      </c>
    </row>
    <row r="109" spans="1:8" ht="12.75" hidden="1">
      <c r="A109" s="402" t="s">
        <v>180</v>
      </c>
      <c r="B109" s="398">
        <f>+C67</f>
        <v>0.25</v>
      </c>
      <c r="C109" s="399">
        <f aca="true" t="shared" si="22" ref="C109:H109">SUM(C110:C115)</f>
        <v>0</v>
      </c>
      <c r="D109" s="399">
        <f t="shared" si="22"/>
        <v>0</v>
      </c>
      <c r="E109" s="399">
        <f t="shared" si="22"/>
        <v>0</v>
      </c>
      <c r="F109" s="399">
        <f t="shared" si="22"/>
        <v>0</v>
      </c>
      <c r="G109" s="399">
        <f t="shared" si="22"/>
        <v>0</v>
      </c>
      <c r="H109" s="399">
        <f t="shared" si="22"/>
        <v>0</v>
      </c>
    </row>
    <row r="110" spans="1:8" ht="12.75" hidden="1">
      <c r="A110" s="368">
        <f t="shared" si="21"/>
        <v>2019</v>
      </c>
      <c r="B110" s="369"/>
      <c r="C110" s="403">
        <f>+IF(C$17&lt;0,0,C$17*$B$109)/12*C$31</f>
        <v>0</v>
      </c>
      <c r="D110" s="404">
        <f>+IF(AND(C110&gt;0,C17&gt;0),+IF(ROUNDUP(SUM($C110:C110),0)&lt;C17,+C17*$B109*(C$31/12)),C17*$B109*(D$31/12))</f>
        <v>0</v>
      </c>
      <c r="E110" s="375">
        <f>+IF(D110=0,0,+IF(ROUNDUP(SUM($C110:D110),0)&lt;$C$17,MIN(($C$17-SUM($C110:D110)),+$C$17*$B$109),0))</f>
        <v>0</v>
      </c>
      <c r="F110" s="375">
        <f>+IF(E110=0,0,+IF(ROUNDUP(SUM($C110:E110),0)&lt;$C$17,MIN(($C$17-SUM($C110:E110)),+$C$17*$B$109),0))</f>
        <v>0</v>
      </c>
      <c r="G110" s="375">
        <f>+IF(F110=0,0,+IF(ROUNDUP(SUM($C110:F110),0)&lt;$C$17,MIN(($C$17-SUM($C110:F110)),+$C$17*$B$109),0))</f>
        <v>0</v>
      </c>
      <c r="H110" s="375">
        <f>+IF(G110=0,0,+IF(ROUNDUP(SUM($C110:G110),0)&lt;$C$17,MIN(($C$17-SUM($C110:G110)),+$C$17*$B$109),0))</f>
        <v>0</v>
      </c>
    </row>
    <row r="111" spans="1:8" ht="12.75" hidden="1">
      <c r="A111" s="368">
        <f t="shared" si="21"/>
        <v>2020</v>
      </c>
      <c r="B111" s="369"/>
      <c r="C111" s="370"/>
      <c r="D111" s="403">
        <f>+IF(D$17&lt;0,0,D$17*$B$109)/12*D$31</f>
        <v>0</v>
      </c>
      <c r="E111" s="375">
        <f>+IF(D111=0,0,+IF(ROUNDUP(SUM($D111:D111),0)&lt;$D$17,MIN(($D$17-SUM($D111:D111)),+$D$17*$B$109),0))</f>
        <v>0</v>
      </c>
      <c r="F111" s="375">
        <f>+IF(E111=0,0,+IF(ROUNDUP(SUM($D111:E111),0)&lt;$D$17,MIN(($D$17-SUM($D111:E111)),+$D$17*$B$109),0))</f>
        <v>0</v>
      </c>
      <c r="G111" s="375">
        <f>+IF(F111=0,0,+IF(ROUNDUP(SUM($D111:F111),0)&lt;$D$17,MIN(($D$17-SUM($D111:F111)),+$D$17*$B$109),0))</f>
        <v>0</v>
      </c>
      <c r="H111" s="375">
        <f>+IF(G111=0,0,+IF(ROUNDUP(SUM($D111:G111),0)&lt;$D$17,MIN(($D$17-SUM($D111:G111)),+$D$17*$B$109),0))</f>
        <v>0</v>
      </c>
    </row>
    <row r="112" spans="1:8" ht="12.75" hidden="1">
      <c r="A112" s="368">
        <f t="shared" si="21"/>
        <v>2021</v>
      </c>
      <c r="B112" s="369"/>
      <c r="C112" s="370"/>
      <c r="D112" s="370"/>
      <c r="E112" s="403">
        <f>+IF(E$17&lt;0,0,E$17*$B$109)/12*E$31</f>
        <v>0</v>
      </c>
      <c r="F112" s="375">
        <f>+IF(E112=0,0,+IF(ROUNDUP(SUM($E112:E112),0)&lt;$E$17,MIN(($E$17-SUM($E112:E112)),+$E$17*$B$109),0))</f>
        <v>0</v>
      </c>
      <c r="G112" s="375">
        <f>+IF(F112=0,0,+IF(ROUNDUP(SUM($E112:F112),0)&lt;$E$17,MIN(($E$17-SUM($E112:F112)),+$E$17*$B$109),0))</f>
        <v>0</v>
      </c>
      <c r="H112" s="375">
        <f>+IF(G112=0,0,+IF(ROUNDUP(SUM($E112:G112),0)&lt;$E$17,MIN(($E$17-SUM($E112:G112)),+$E$17*$B$109),0))</f>
        <v>0</v>
      </c>
    </row>
    <row r="113" spans="1:8" ht="12.75" hidden="1">
      <c r="A113" s="368">
        <f t="shared" si="21"/>
        <v>2022</v>
      </c>
      <c r="B113" s="369"/>
      <c r="C113" s="370"/>
      <c r="D113" s="370"/>
      <c r="E113" s="370"/>
      <c r="F113" s="403">
        <f>+IF(F$17&lt;0,0,F$17*$B$109)/12*F$31</f>
        <v>0</v>
      </c>
      <c r="G113" s="375">
        <f>+IF(F113=0,0,+IF(ROUNDUP(SUM($F113:F113),0)&lt;$F$17,MIN(($F$17-SUM($F113:F113)),+$F$17*$B$109),0))</f>
        <v>0</v>
      </c>
      <c r="H113" s="375">
        <f>+IF(G113=0,0,+IF(ROUNDUP(SUM($F113:G113),0)&lt;$F$17,MIN(($F$17-SUM($F113:G113)),+$F$17*$B$109),0))</f>
        <v>0</v>
      </c>
    </row>
    <row r="114" spans="1:8" ht="12.75" hidden="1">
      <c r="A114" s="368">
        <f t="shared" si="21"/>
        <v>2023</v>
      </c>
      <c r="B114" s="369"/>
      <c r="C114" s="370"/>
      <c r="D114" s="370"/>
      <c r="E114" s="370"/>
      <c r="F114" s="370"/>
      <c r="G114" s="403">
        <f>+IF(G$17&lt;0,0,G$17*$B$109)/12*G$31</f>
        <v>0</v>
      </c>
      <c r="H114" s="375">
        <f>+IF(G114=0,0,+IF(ROUNDUP(SUM($G114:G114),0)&lt;$G$17,MIN(($G$17-SUM($G114:G114)),+$G$17*$B$109),0))</f>
        <v>0</v>
      </c>
    </row>
    <row r="115" spans="1:8" ht="12.75" hidden="1">
      <c r="A115" s="368">
        <f t="shared" si="21"/>
        <v>2024</v>
      </c>
      <c r="B115" s="369"/>
      <c r="C115" s="370"/>
      <c r="D115" s="370"/>
      <c r="E115" s="370"/>
      <c r="F115" s="370"/>
      <c r="G115" s="370"/>
      <c r="H115" s="403">
        <f>+IF(H$17&lt;0,0,H$17*$B$109)/12*H$31</f>
        <v>0</v>
      </c>
    </row>
    <row r="116" spans="1:8" ht="12.75" hidden="1">
      <c r="A116" s="402" t="s">
        <v>181</v>
      </c>
      <c r="B116" s="398">
        <f>+C68</f>
        <v>0.25</v>
      </c>
      <c r="C116" s="399">
        <f aca="true" t="shared" si="23" ref="C116:H116">SUM(C117:C122)</f>
        <v>0</v>
      </c>
      <c r="D116" s="399">
        <f t="shared" si="23"/>
        <v>0</v>
      </c>
      <c r="E116" s="399">
        <f t="shared" si="23"/>
        <v>0</v>
      </c>
      <c r="F116" s="399">
        <f t="shared" si="23"/>
        <v>0</v>
      </c>
      <c r="G116" s="399">
        <f t="shared" si="23"/>
        <v>0</v>
      </c>
      <c r="H116" s="399">
        <f t="shared" si="23"/>
        <v>0</v>
      </c>
    </row>
    <row r="117" spans="1:8" ht="12.75" hidden="1">
      <c r="A117" s="368">
        <f t="shared" si="21"/>
        <v>2019</v>
      </c>
      <c r="B117" s="369"/>
      <c r="C117" s="403">
        <f>+IF(C$18&lt;0,0,C$18*$B$116)/12*C$31</f>
        <v>0</v>
      </c>
      <c r="D117" s="404">
        <f>+IF(AND(C117&gt;0,C18&gt;0),+IF(ROUNDUP(SUM($C117:C117),0)&lt;C18,+C18*$B116*(C$31/12)),C18*$B116*(D$31/12))</f>
        <v>0</v>
      </c>
      <c r="E117" s="370">
        <f>+IF(D117=0,0,+IF(ROUNDUP(SUM($C117:D117),0)&lt;$C18,MIN(($C18-SUM($C117:D117)),+$C18*$B$116),0))</f>
        <v>0</v>
      </c>
      <c r="F117" s="370">
        <f>+IF(E117=0,0,+IF(ROUNDUP(SUM($C117:E117),0)&lt;$C18,MIN(($C18-SUM($C117:E117)),+$C18*$B$116),0))</f>
        <v>0</v>
      </c>
      <c r="G117" s="370">
        <f>+IF(F117=0,0,+IF(ROUNDUP(SUM($C117:F117),0)&lt;$C18,MIN(($C18-SUM($C117:F117)),+$C18*$B$116),0))</f>
        <v>0</v>
      </c>
      <c r="H117" s="370">
        <f>+IF(G117=0,0,+IF(ROUNDUP(SUM($C117:G117),0)&lt;$C18,MIN(($C18-SUM($C117:G117)),+$C18*$B$116),0))</f>
        <v>0</v>
      </c>
    </row>
    <row r="118" spans="1:8" ht="12.75" hidden="1">
      <c r="A118" s="368">
        <f t="shared" si="21"/>
        <v>2020</v>
      </c>
      <c r="B118" s="369"/>
      <c r="C118" s="370"/>
      <c r="D118" s="403">
        <f>+IF(D$18&lt;0,0,D$18*$B$116)/12*D$31</f>
        <v>0</v>
      </c>
      <c r="E118" s="370">
        <f>+IF(D118=0,0,+IF(ROUNDUP(SUM($D118:D118),0)&lt;$D18,MIN(($D18-SUM($D118:D118)),+$D18*$B$116),0))</f>
        <v>0</v>
      </c>
      <c r="F118" s="370">
        <f>+IF(E118=0,0,+IF(ROUNDUP(SUM($D118:E118),0)&lt;$D18,MIN(($D18-SUM($D118:E118)),+$D18*$B$116),0))</f>
        <v>0</v>
      </c>
      <c r="G118" s="370">
        <f>+IF(F118=0,0,+IF(ROUNDUP(SUM($D118:F118),0)&lt;$D18,MIN(($D18-SUM($D118:F118)),+$D18*$B$116),0))</f>
        <v>0</v>
      </c>
      <c r="H118" s="370">
        <f>+IF(G118=0,0,+IF(ROUNDUP(SUM($D118:G118),0)&lt;$D18,MIN(($D18-SUM($D118:G118)),+$D18*$B$116),0))</f>
        <v>0</v>
      </c>
    </row>
    <row r="119" spans="1:8" ht="12.75" hidden="1">
      <c r="A119" s="368">
        <f t="shared" si="21"/>
        <v>2021</v>
      </c>
      <c r="B119" s="369"/>
      <c r="C119" s="370"/>
      <c r="D119" s="370"/>
      <c r="E119" s="403">
        <f>+IF(E$18&lt;0,0,E$18*$B$116)/12*E$31</f>
        <v>0</v>
      </c>
      <c r="F119" s="370">
        <f>+IF(E119=0,0,+IF(ROUNDUP(SUM($E119:E119),0)&lt;$E$18,MIN(($E$18-SUM($E119:E119)),+$E$18*$B$116),0))</f>
        <v>0</v>
      </c>
      <c r="G119" s="370">
        <f>+IF(F119=0,0,+IF(ROUNDUP(SUM($E119:F119),0)&lt;$E$18,MIN(($E$18-SUM($E119:F119)),+$E$18*$B$116),0))</f>
        <v>0</v>
      </c>
      <c r="H119" s="370">
        <f>+IF(G119=0,0,+IF(ROUNDUP(SUM($E119:G119),0)&lt;$E$18,MIN(($E$18-SUM($E119:G119)),+$E$18*$B$116),0))</f>
        <v>0</v>
      </c>
    </row>
    <row r="120" spans="1:8" ht="12.75" hidden="1">
      <c r="A120" s="368">
        <f t="shared" si="21"/>
        <v>2022</v>
      </c>
      <c r="B120" s="369"/>
      <c r="C120" s="370"/>
      <c r="D120" s="370"/>
      <c r="E120" s="370"/>
      <c r="F120" s="403">
        <f>+IF(F$18&lt;0,0,F$18*$B$116)/12*F$31</f>
        <v>0</v>
      </c>
      <c r="G120" s="370">
        <f>+IF(F120=0,0,+IF(ROUNDUP(SUM($F120:F120),0)&lt;$F$18,MIN(($F$18-SUM($F120:F120)),+$F$18*$B$116),0))</f>
        <v>0</v>
      </c>
      <c r="H120" s="370">
        <f>+IF(G120=0,0,+IF(ROUNDUP(SUM($F120:G120),0)&lt;$F$18,MIN(($F$18-SUM($F120:G120)),+$F$18*$B$116),0))</f>
        <v>0</v>
      </c>
    </row>
    <row r="121" spans="1:8" ht="12.75" hidden="1">
      <c r="A121" s="368">
        <f t="shared" si="21"/>
        <v>2023</v>
      </c>
      <c r="B121" s="369"/>
      <c r="C121" s="370"/>
      <c r="D121" s="370"/>
      <c r="E121" s="370"/>
      <c r="F121" s="370"/>
      <c r="G121" s="403">
        <f>+IF(G$18&lt;0,0,G$18*$B$116)/12*G$31</f>
        <v>0</v>
      </c>
      <c r="H121" s="370">
        <f>+IF(G121=0,0,+IF(ROUNDUP(SUM($G121:G121),0)&lt;$G$18,MIN(($G$18-SUM($G121:G121)),+$G$18*$B$116),0))</f>
        <v>0</v>
      </c>
    </row>
    <row r="122" spans="1:8" ht="12.75" hidden="1">
      <c r="A122" s="368">
        <f t="shared" si="21"/>
        <v>2024</v>
      </c>
      <c r="B122" s="369"/>
      <c r="C122" s="370"/>
      <c r="D122" s="370"/>
      <c r="E122" s="370"/>
      <c r="F122" s="370"/>
      <c r="G122" s="370"/>
      <c r="H122" s="403">
        <f>+IF(H$18&lt;0,0,H$18*$B$116)/12*H$31</f>
        <v>0</v>
      </c>
    </row>
    <row r="123" spans="1:8" ht="12.75" hidden="1">
      <c r="A123" s="402" t="s">
        <v>182</v>
      </c>
      <c r="B123" s="398">
        <f>+C69</f>
        <v>0.2</v>
      </c>
      <c r="C123" s="399">
        <f aca="true" t="shared" si="24" ref="C123:H123">SUM(C124:C129)</f>
        <v>0</v>
      </c>
      <c r="D123" s="399">
        <f t="shared" si="24"/>
        <v>0</v>
      </c>
      <c r="E123" s="399">
        <f t="shared" si="24"/>
        <v>0</v>
      </c>
      <c r="F123" s="399">
        <f t="shared" si="24"/>
        <v>0</v>
      </c>
      <c r="G123" s="399">
        <f t="shared" si="24"/>
        <v>0</v>
      </c>
      <c r="H123" s="399">
        <f t="shared" si="24"/>
        <v>0</v>
      </c>
    </row>
    <row r="124" spans="1:8" ht="12.75" hidden="1">
      <c r="A124" s="368">
        <f t="shared" si="21"/>
        <v>2019</v>
      </c>
      <c r="B124" s="369"/>
      <c r="C124" s="403">
        <f>+IF(C$19&lt;0,0,C$19*$B$123)/12*C$31</f>
        <v>0</v>
      </c>
      <c r="D124" s="404">
        <f>+IF(AND(C124&gt;0,C19&gt;0),+IF(ROUNDUP(SUM($C124:C124),0)&lt;C19,+C19*$B123*(C$31/12)),C19*$B123*(D$31/12))</f>
        <v>0</v>
      </c>
      <c r="E124" s="370">
        <f>+IF(D124=0,0,+IF(ROUNDUP(SUM($C124:D124),0)&lt;$C$19,MIN(($C$19-SUM($C124:D124)),+$C$19*$B$123),0))</f>
        <v>0</v>
      </c>
      <c r="F124" s="370">
        <f>+IF(E124=0,0,+IF(ROUNDUP(SUM($C124:E124),0)&lt;$C$19,MIN(($C$19-SUM($C124:E124)),+$C$19*$B$123),0))</f>
        <v>0</v>
      </c>
      <c r="G124" s="370">
        <f>+IF(F124=0,0,+IF(ROUNDUP(SUM($C124:F124),0)&lt;$C$19,MIN(($C$19-SUM($C124:F124)),+$C$19*$B$123),0))</f>
        <v>0</v>
      </c>
      <c r="H124" s="370">
        <f>+IF(G124=0,0,+IF(ROUNDUP(SUM($C124:G124),0)&lt;$C$19,MIN(($C$19-SUM($C124:G124)),+$C$19*$B$123),0))</f>
        <v>0</v>
      </c>
    </row>
    <row r="125" spans="1:8" ht="12.75" hidden="1">
      <c r="A125" s="368">
        <f t="shared" si="21"/>
        <v>2020</v>
      </c>
      <c r="B125" s="369"/>
      <c r="C125" s="370"/>
      <c r="D125" s="403">
        <f>+IF(D$19&lt;0,0,D$19*$B$123)/12*D$31</f>
        <v>0</v>
      </c>
      <c r="E125" s="370">
        <f>+IF(D125=0,0,+IF(ROUNDUP(SUM($D125:D125),0)&lt;$D$19,MIN(($D$19-SUM($D125:D125)),+$D$19*$B$123),0))</f>
        <v>0</v>
      </c>
      <c r="F125" s="370">
        <f>+IF(E125=0,0,+IF(ROUNDUP(SUM($D125:E125),0)&lt;$D$19,MIN(($D$19-SUM($D125:E125)),+$D$19*$B$123),0))</f>
        <v>0</v>
      </c>
      <c r="G125" s="370">
        <f>+IF(F125=0,0,+IF(ROUNDUP(SUM($D125:F125),0)&lt;$D$19,MIN(($D$19-SUM($D125:F125)),+$D$19*$B$123),0))</f>
        <v>0</v>
      </c>
      <c r="H125" s="370">
        <f>+IF(G125=0,0,+IF(ROUNDUP(SUM($D125:G125),0)&lt;$D$19,MIN(($D$19-SUM($D125:G125)),+$D$19*$B$123),0))</f>
        <v>0</v>
      </c>
    </row>
    <row r="126" spans="1:8" ht="12.75" hidden="1">
      <c r="A126" s="368">
        <f t="shared" si="21"/>
        <v>2021</v>
      </c>
      <c r="B126" s="369"/>
      <c r="C126" s="370"/>
      <c r="D126" s="370"/>
      <c r="E126" s="403">
        <f>+IF(E$19&lt;0,0,E$19*$B$123)/12*E$31</f>
        <v>0</v>
      </c>
      <c r="F126" s="370">
        <f>+IF(E126=0,0,+IF(ROUNDUP(SUM($E126:E126),0)&lt;$E$19,MIN(($E$19-SUM($E126:E126)),+$E$19*$B$123),0))</f>
        <v>0</v>
      </c>
      <c r="G126" s="370">
        <f>+IF(F126=0,0,+IF(ROUNDUP(SUM($E126:F126),0)&lt;$E$19,MIN(($E$19-SUM($E126:F126)),+$E$19*$B$123),0))</f>
        <v>0</v>
      </c>
      <c r="H126" s="370">
        <f>+IF(G126=0,0,+IF(ROUNDUP(SUM($E126:G126),0)&lt;$E$19,MIN(($E$19-SUM($E126:G126)),+$E$19*$B$123),0))</f>
        <v>0</v>
      </c>
    </row>
    <row r="127" spans="1:8" ht="12.75" hidden="1">
      <c r="A127" s="368">
        <f t="shared" si="21"/>
        <v>2022</v>
      </c>
      <c r="B127" s="369"/>
      <c r="C127" s="370"/>
      <c r="D127" s="370"/>
      <c r="E127" s="370"/>
      <c r="F127" s="403">
        <f>+IF(F$19&lt;0,0,F$19*$B$123)/12*F$31</f>
        <v>0</v>
      </c>
      <c r="G127" s="370">
        <f>+IF(F127=0,0,+IF(ROUNDUP(SUM($F127:F127),0)&lt;$F$19,MIN(($F$19-SUM($F127:F127)),+$F$19*$B$123),0))</f>
        <v>0</v>
      </c>
      <c r="H127" s="370">
        <f>+IF(G127=0,0,+IF(ROUNDUP(SUM($F127:G127),0)&lt;$F$19,MIN(($F$19-SUM($F127:G127)),+$F$19*$B$123),0))</f>
        <v>0</v>
      </c>
    </row>
    <row r="128" spans="1:8" ht="12.75" hidden="1">
      <c r="A128" s="368">
        <f t="shared" si="21"/>
        <v>2023</v>
      </c>
      <c r="B128" s="369"/>
      <c r="C128" s="370"/>
      <c r="D128" s="370"/>
      <c r="E128" s="370"/>
      <c r="F128" s="370"/>
      <c r="G128" s="403">
        <f>+IF(G$19&lt;0,0,G$19*$B$123)/12*G$31</f>
        <v>0</v>
      </c>
      <c r="H128" s="370">
        <f>+IF(G128=0,0,+IF(ROUNDUP(SUM($E128:G128),0)&lt;$E$19,MIN(($E$19-SUM($E128:G128)),+$G$19*$B$123),0))</f>
        <v>0</v>
      </c>
    </row>
    <row r="129" spans="1:8" ht="12.75" hidden="1">
      <c r="A129" s="368">
        <f t="shared" si="21"/>
        <v>2024</v>
      </c>
      <c r="B129" s="369"/>
      <c r="C129" s="370"/>
      <c r="D129" s="370"/>
      <c r="E129" s="370"/>
      <c r="F129" s="370"/>
      <c r="G129" s="370"/>
      <c r="H129" s="403">
        <f>+IF(H$19&lt;0,0,H$19*$B$123)/12*H$31</f>
        <v>0</v>
      </c>
    </row>
    <row r="130" spans="1:8" ht="12.75" hidden="1">
      <c r="A130" s="402" t="s">
        <v>178</v>
      </c>
      <c r="B130" s="398">
        <f>+C70</f>
        <v>0.25</v>
      </c>
      <c r="C130" s="399">
        <f aca="true" t="shared" si="25" ref="C130:H130">SUM(C131:C136)</f>
        <v>0</v>
      </c>
      <c r="D130" s="399">
        <f t="shared" si="25"/>
        <v>0</v>
      </c>
      <c r="E130" s="399">
        <f t="shared" si="25"/>
        <v>0</v>
      </c>
      <c r="F130" s="399">
        <f t="shared" si="25"/>
        <v>0</v>
      </c>
      <c r="G130" s="399">
        <f t="shared" si="25"/>
        <v>0</v>
      </c>
      <c r="H130" s="399">
        <f t="shared" si="25"/>
        <v>0</v>
      </c>
    </row>
    <row r="131" spans="1:8" ht="12.75" hidden="1">
      <c r="A131" s="368">
        <f t="shared" si="21"/>
        <v>2019</v>
      </c>
      <c r="B131" s="369"/>
      <c r="C131" s="403">
        <f>+IF(C$20&lt;0,0,C$20*$B$130)/12*C$31</f>
        <v>0</v>
      </c>
      <c r="D131" s="404">
        <f>+IF(AND(C131&gt;0,C20&gt;0),+IF(ROUNDUP(SUM($C131:C131),0)&lt;C20,+C20*$B130*(C$31/12)),C20*$B130*(D$31/12))</f>
        <v>0</v>
      </c>
      <c r="E131" s="370">
        <f>+IF(D131=0,0,+IF(ROUNDUP(SUM($C131:D131),0)&lt;$C$20,MIN(($C$20-SUM($C131:D131)),+$C$20*$B$130),0))</f>
        <v>0</v>
      </c>
      <c r="F131" s="370">
        <f>+IF(E131=0,0,+IF(ROUNDUP(SUM($C131:E131),0)&lt;$C$20,MIN(($C$20-SUM($C131:E131)),+$C$20*$B$130),0))</f>
        <v>0</v>
      </c>
      <c r="G131" s="370">
        <f>+IF(F131=0,0,+IF(ROUNDUP(SUM($C131:F131),0)&lt;$C$20,MIN(($C$20-SUM($C131:F131)),+$C$20*$B$130),0))</f>
        <v>0</v>
      </c>
      <c r="H131" s="370">
        <f>+IF(G131=0,0,+IF(ROUNDUP(SUM($C131:G131),0)&lt;$C$20,MIN(($C$20-SUM($C131:G131)),+$C$20*$B$130),0))</f>
        <v>0</v>
      </c>
    </row>
    <row r="132" spans="1:8" ht="12.75" hidden="1">
      <c r="A132" s="368">
        <f t="shared" si="21"/>
        <v>2020</v>
      </c>
      <c r="B132" s="369"/>
      <c r="C132" s="370"/>
      <c r="D132" s="403">
        <f>+IF(D$20&lt;0,0,D$20*$B$130)/12*D$31</f>
        <v>0</v>
      </c>
      <c r="E132" s="370">
        <f>+IF(D132=0,0,+IF(ROUNDUP(SUM($D132:D132),0)&lt;$D$20,MIN(($D$20-SUM($D132:D132)),+$D$20*$B$130),0))</f>
        <v>0</v>
      </c>
      <c r="F132" s="370">
        <f>+IF(E132=0,0,+IF(ROUNDUP(SUM($D132:E132),0)&lt;$D$20,MIN(($D$20-SUM($D132:E132)),+$D$20*$B$130),0))</f>
        <v>0</v>
      </c>
      <c r="G132" s="370">
        <f>+IF(F132=0,0,+IF(ROUNDUP(SUM($D132:F132),0)&lt;$D$20,MIN(($D$20-SUM($D132:F132)),+$D$20*$B$130),0))</f>
        <v>0</v>
      </c>
      <c r="H132" s="370">
        <f>+IF(G132=0,0,+IF(ROUNDUP(SUM($D132:G132),0)&lt;$D$20,MIN(($D$20-SUM($D132:G132)),+$D$20*$B$130),0))</f>
        <v>0</v>
      </c>
    </row>
    <row r="133" spans="1:8" ht="12.75" hidden="1">
      <c r="A133" s="368">
        <f t="shared" si="21"/>
        <v>2021</v>
      </c>
      <c r="B133" s="369"/>
      <c r="C133" s="370"/>
      <c r="D133" s="370"/>
      <c r="E133" s="403">
        <f>+IF(E$20&lt;0,0,E$20*$B$130)/12*E$31</f>
        <v>0</v>
      </c>
      <c r="F133" s="370">
        <f>+IF(E133=0,0,+IF(ROUNDUP(SUM($E133:E133),0)&lt;$E$20,MIN(($E$20-SUM($E133:E133)),+$E$20*$B$130),0))</f>
        <v>0</v>
      </c>
      <c r="G133" s="370">
        <f>+IF(F133=0,0,+IF(ROUNDUP(SUM($E133:F133),0)&lt;$E$20,MIN(($E$20-SUM($E133:F133)),+$E$20*$B$130),0))</f>
        <v>0</v>
      </c>
      <c r="H133" s="370">
        <f>+IF(G133=0,0,+IF(ROUNDUP(SUM($E133:G133),0)&lt;$E$20,MIN(($E$20-SUM($E133:G133)),+$E$20*$B$130),0))</f>
        <v>0</v>
      </c>
    </row>
    <row r="134" spans="1:8" ht="12.75" hidden="1">
      <c r="A134" s="368">
        <f t="shared" si="21"/>
        <v>2022</v>
      </c>
      <c r="B134" s="369"/>
      <c r="C134" s="370"/>
      <c r="D134" s="370"/>
      <c r="E134" s="370"/>
      <c r="F134" s="403">
        <f>+IF(F$20&lt;0,0,F$20*$B$130)/12*F$31</f>
        <v>0</v>
      </c>
      <c r="G134" s="370">
        <f>+IF(F134=0,0,+IF(ROUNDUP(SUM($F134:F134),0)&lt;$F$20,MIN(($F$20-SUM($F134:F134)),+$F$20*$B$130),0))</f>
        <v>0</v>
      </c>
      <c r="H134" s="370">
        <f>+IF(G134=0,0,+IF(ROUNDUP(SUM($F134:G134),0)&lt;$F$20,MIN(($F$20-SUM($F134:G134)),+$F$20*$B$130),0))</f>
        <v>0</v>
      </c>
    </row>
    <row r="135" spans="1:8" ht="12.75" hidden="1">
      <c r="A135" s="368">
        <f t="shared" si="21"/>
        <v>2023</v>
      </c>
      <c r="B135" s="369"/>
      <c r="C135" s="370"/>
      <c r="D135" s="370"/>
      <c r="E135" s="370"/>
      <c r="F135" s="370"/>
      <c r="G135" s="403">
        <f>+IF(G$20&lt;0,0,G$20*$B$130)/12*G$31</f>
        <v>0</v>
      </c>
      <c r="H135" s="370">
        <f>+IF(G135=0,0,+IF(ROUNDUP(SUM($G135:G135),0)&lt;$G$20,MIN(($G$20-SUM($G135:G135)),+$G$20*$B$130),0))</f>
        <v>0</v>
      </c>
    </row>
    <row r="136" spans="1:8" ht="12.75" hidden="1">
      <c r="A136" s="368">
        <f t="shared" si="21"/>
        <v>2024</v>
      </c>
      <c r="B136" s="369"/>
      <c r="C136" s="370"/>
      <c r="D136" s="370"/>
      <c r="E136" s="370"/>
      <c r="F136" s="370"/>
      <c r="G136" s="370"/>
      <c r="H136" s="403">
        <f>+IF(H$20&lt;0,0,H$20*$B$130)/12*H$31</f>
        <v>0</v>
      </c>
    </row>
    <row r="137" spans="1:8" ht="12.75" hidden="1">
      <c r="A137" s="650" t="s">
        <v>31</v>
      </c>
      <c r="B137" s="650"/>
      <c r="C137" s="372">
        <f aca="true" t="shared" si="26" ref="C137:H137">+C95+C102+C109+C116+C123+C130</f>
        <v>0</v>
      </c>
      <c r="D137" s="372">
        <f t="shared" si="26"/>
        <v>0</v>
      </c>
      <c r="E137" s="372">
        <f t="shared" si="26"/>
        <v>0</v>
      </c>
      <c r="F137" s="372">
        <f t="shared" si="26"/>
        <v>0</v>
      </c>
      <c r="G137" s="372">
        <f t="shared" si="26"/>
        <v>0</v>
      </c>
      <c r="H137" s="372">
        <f t="shared" si="26"/>
        <v>0</v>
      </c>
    </row>
    <row r="138" spans="1:8" ht="12.75" hidden="1">
      <c r="A138" s="373" t="s">
        <v>156</v>
      </c>
      <c r="B138" s="371"/>
      <c r="C138" s="374"/>
      <c r="D138" s="374"/>
      <c r="E138" s="374"/>
      <c r="F138" s="374"/>
      <c r="G138" s="374"/>
      <c r="H138" s="374"/>
    </row>
    <row r="139" spans="1:8" ht="12.75" hidden="1">
      <c r="A139" s="402" t="s">
        <v>160</v>
      </c>
      <c r="B139" s="398">
        <f>+C72</f>
        <v>0.3333333333333333</v>
      </c>
      <c r="C139" s="399">
        <f aca="true" t="shared" si="27" ref="C139:H139">SUM(C140:C145)</f>
        <v>0</v>
      </c>
      <c r="D139" s="399">
        <f t="shared" si="27"/>
        <v>0</v>
      </c>
      <c r="E139" s="399">
        <f t="shared" si="27"/>
        <v>0</v>
      </c>
      <c r="F139" s="399">
        <f t="shared" si="27"/>
        <v>0</v>
      </c>
      <c r="G139" s="399">
        <f t="shared" si="27"/>
        <v>0</v>
      </c>
      <c r="H139" s="399">
        <f t="shared" si="27"/>
        <v>0</v>
      </c>
    </row>
    <row r="140" spans="1:8" ht="12.75" hidden="1">
      <c r="A140" s="368">
        <f aca="true" t="shared" si="28" ref="A140:A145">A103</f>
        <v>2019</v>
      </c>
      <c r="B140" s="369"/>
      <c r="C140" s="403">
        <f>+IF(C$24&lt;0,0,C$24*$B$139)/12*C$31</f>
        <v>0</v>
      </c>
      <c r="D140" s="404">
        <f>+IF(AND(C140&gt;0,C24&gt;0),+IF(ROUNDUP(SUM($C140:C140),0)&lt;C24,+C24*$B139*(C$31/12)),C24*$B139*(D$31/12))</f>
        <v>0</v>
      </c>
      <c r="E140" s="375">
        <f>+IF(D140=0,0,+IF(ROUNDUP(SUM($C140:D140),0)&lt;$C24,MIN(($C24-SUM($C140:D140)),+$C24*$B$139),0))</f>
        <v>0</v>
      </c>
      <c r="F140" s="375">
        <f>+IF(E140=0,0,+IF(ROUNDUP(SUM($C140:E140),0)&lt;$C24,MIN(($C24-SUM($C140:E140)),+$C24*$B$139),0))</f>
        <v>0</v>
      </c>
      <c r="G140" s="375">
        <f>+IF(F140=0,0,+IF(ROUNDUP(SUM($C140:F140),0)&lt;$C24,MIN(($C24-SUM($C140:F140)),+$C24*$B$139),0))</f>
        <v>0</v>
      </c>
      <c r="H140" s="375">
        <f>+IF(G140=0,0,+IF(ROUNDUP(SUM($C140:G140),0)&lt;$C24,MIN(($C24-SUM($C140:G140)),+$C24*$B$139),0))</f>
        <v>0</v>
      </c>
    </row>
    <row r="141" spans="1:8" ht="12.75" hidden="1">
      <c r="A141" s="368">
        <f t="shared" si="28"/>
        <v>2020</v>
      </c>
      <c r="B141" s="369"/>
      <c r="C141" s="370">
        <f>+IF(C$25&lt;0,0,C$25*$B$146)/12*C71</f>
        <v>0</v>
      </c>
      <c r="D141" s="403">
        <f>+IF(D$24&lt;0,0,D$24*$B$139)/12*D$31</f>
        <v>0</v>
      </c>
      <c r="E141" s="375">
        <f>+IF(D141=0,0,+IF(ROUNDUP(SUM($D141:D141),0)&lt;D$24,MIN((D$24-SUM($D141:D141)),+D$24*$B$139),0))</f>
        <v>0</v>
      </c>
      <c r="F141" s="375">
        <f>+IF(E141=0,0,+IF(ROUNDUP(SUM($D141:E141),0)&lt;E$24,MIN((E$24-SUM($D141:E141)),+E$24*$B$139),0))</f>
        <v>0</v>
      </c>
      <c r="G141" s="375">
        <f>+IF(F141=0,0,+IF(ROUNDUP(SUM($D141:F141),0)&lt;F$24,MIN((F$24-SUM($D141:F141)),+F$24*$B$139),0))</f>
        <v>0</v>
      </c>
      <c r="H141" s="375">
        <f>+IF(G141=0,0,+IF(ROUNDUP(SUM($D141:G141),0)&lt;G$24,MIN((G$24-SUM($D141:G141)),+G$24*$B$139),0))</f>
        <v>0</v>
      </c>
    </row>
    <row r="142" spans="1:8" ht="12.75" hidden="1">
      <c r="A142" s="368">
        <f t="shared" si="28"/>
        <v>2021</v>
      </c>
      <c r="B142" s="369"/>
      <c r="C142" s="370"/>
      <c r="D142" s="370"/>
      <c r="E142" s="403">
        <f>+IF(E$24&lt;0,0,E$24*$B$139)/12*E$31</f>
        <v>0</v>
      </c>
      <c r="F142" s="375">
        <f>+IF(E142=0,0,+IF(ROUNDUP(SUM($E142:E142),0)&lt;E$24,MIN((E$24-SUM($E142:E142)),+E$24*$B$139),0))</f>
        <v>0</v>
      </c>
      <c r="G142" s="375">
        <f>+IF(F142=0,0,+IF(ROUNDUP(SUM($E142:F142),0)&lt;F$24,MIN((F$24-SUM($E142:F142)),+F$24*$B$139),0))</f>
        <v>0</v>
      </c>
      <c r="H142" s="375">
        <f>+IF(G142=0,0,+IF(ROUNDUP(SUM($E142:G142),0)&lt;G$24,MIN((G$24-SUM($E142:G142)),+G$24*$B$139),0))</f>
        <v>0</v>
      </c>
    </row>
    <row r="143" spans="1:8" ht="12.75" hidden="1">
      <c r="A143" s="368">
        <f t="shared" si="28"/>
        <v>2022</v>
      </c>
      <c r="B143" s="369"/>
      <c r="C143" s="370"/>
      <c r="D143" s="370"/>
      <c r="E143" s="370"/>
      <c r="F143" s="403">
        <f>+IF(F$24&lt;0,0,F$24*$B$139)/12*F$31</f>
        <v>0</v>
      </c>
      <c r="G143" s="375">
        <f>+IF(F143=0,0,+IF(ROUNDUP(SUM($F143:F143),0)&lt;F$24,MIN((F$24-SUM($F143:F143)),+F$24*$B$139),0))</f>
        <v>0</v>
      </c>
      <c r="H143" s="375">
        <f>+IF(G143=0,0,+IF(ROUNDUP(SUM($F143:G143),0)&lt;G$24,MIN((G$24-SUM($F143:G143)),+G$24*$B$139),0))</f>
        <v>0</v>
      </c>
    </row>
    <row r="144" spans="1:8" ht="12.75" hidden="1">
      <c r="A144" s="368">
        <f t="shared" si="28"/>
        <v>2023</v>
      </c>
      <c r="B144" s="369"/>
      <c r="C144" s="370"/>
      <c r="D144" s="370"/>
      <c r="E144" s="370"/>
      <c r="F144" s="370"/>
      <c r="G144" s="403">
        <f>+IF(G$24&lt;0,0,G$24*$B$139)/12*G$31</f>
        <v>0</v>
      </c>
      <c r="H144" s="375">
        <f>+IF(G144=0,0,+IF(ROUNDUP(SUM($G144:G144),0)&lt;G$24,MIN((G$24-SUM($G144:G144)),+G$24*$B$139),0))</f>
        <v>0</v>
      </c>
    </row>
    <row r="145" spans="1:8" ht="12.75" hidden="1">
      <c r="A145" s="368">
        <f t="shared" si="28"/>
        <v>2024</v>
      </c>
      <c r="B145" s="369"/>
      <c r="C145" s="370"/>
      <c r="D145" s="370"/>
      <c r="E145" s="370"/>
      <c r="F145" s="370"/>
      <c r="G145" s="370"/>
      <c r="H145" s="403">
        <f>+IF(H$24&lt;0,0,H$24*$B$139)</f>
        <v>0</v>
      </c>
    </row>
    <row r="146" spans="1:8" ht="12.75" hidden="1">
      <c r="A146" s="402" t="s">
        <v>161</v>
      </c>
      <c r="B146" s="398">
        <f>+C73</f>
        <v>0.3333333333333333</v>
      </c>
      <c r="C146" s="399">
        <f aca="true" t="shared" si="29" ref="C146:H146">SUM(C147:C152)</f>
        <v>0</v>
      </c>
      <c r="D146" s="399">
        <f t="shared" si="29"/>
        <v>0</v>
      </c>
      <c r="E146" s="399">
        <f t="shared" si="29"/>
        <v>0</v>
      </c>
      <c r="F146" s="399">
        <f t="shared" si="29"/>
        <v>0</v>
      </c>
      <c r="G146" s="399">
        <f t="shared" si="29"/>
        <v>0</v>
      </c>
      <c r="H146" s="399">
        <f t="shared" si="29"/>
        <v>0</v>
      </c>
    </row>
    <row r="147" spans="1:8" ht="12.75" hidden="1">
      <c r="A147" s="368">
        <f aca="true" t="shared" si="30" ref="A147:A152">A140</f>
        <v>2019</v>
      </c>
      <c r="B147" s="369"/>
      <c r="C147" s="403">
        <f>+IF(C$25&lt;0,0,C$25*$B$146)/12*C$31</f>
        <v>0</v>
      </c>
      <c r="D147" s="404">
        <f>+IF(AND(C147&gt;0,C25&gt;0),+IF(ROUNDUP(SUM($C147:C147),0)&lt;C25,+C25*$B146*(C$31/12)),C25*$B146*(D$31/12))</f>
        <v>0</v>
      </c>
      <c r="E147" s="375">
        <f>+IF(D147=0,0,+IF(ROUNDUP(SUM($C147:D147),0)&lt;$C25,MIN(($C25-SUM($C147:D147)),+$C25*$B$146),0))</f>
        <v>0</v>
      </c>
      <c r="F147" s="375">
        <f>+IF(E147=0,0,+IF(ROUNDUP(SUM($C147:E147),0)&lt;$C25,MIN(($C25-SUM($C147:E147)),+$C25*$B$146),0))</f>
        <v>0</v>
      </c>
      <c r="G147" s="375">
        <f>+IF(F147=0,0,+IF(ROUNDUP(SUM($C147:F147),0)&lt;$C25,MIN(($C25-SUM($C147:F147)),+$C25*$B$146),0))</f>
        <v>0</v>
      </c>
      <c r="H147" s="375">
        <f>+IF(G147=0,0,+IF(ROUNDUP(SUM($C147:G147),0)&lt;$C25,MIN(($C25-SUM($C147:G147)),+$C25*$B$146),0))</f>
        <v>0</v>
      </c>
    </row>
    <row r="148" spans="1:8" ht="12.75" hidden="1">
      <c r="A148" s="368">
        <f t="shared" si="30"/>
        <v>2020</v>
      </c>
      <c r="B148" s="369"/>
      <c r="C148" s="370">
        <f>+IF(C$25&lt;0,0,C$25*$B$146)/12*C32</f>
        <v>0</v>
      </c>
      <c r="D148" s="403">
        <f>+IF(D$25&lt;0,0,D$25*$B$146)/12*D$31</f>
        <v>0</v>
      </c>
      <c r="E148" s="375">
        <f>+IF(D148=0,0,+IF(ROUNDUP(SUM($D148:D148),0)&lt;$D25,MIN(($D25-SUM($D148:D148)),+$D25*$B$146),0))</f>
        <v>0</v>
      </c>
      <c r="F148" s="375">
        <f>+IF(E148=0,0,+IF(ROUNDUP(SUM($D148:E148),0)&lt;$D25,MIN(($D25-SUM($D148:E148)),+$D25*$B$146),0))</f>
        <v>0</v>
      </c>
      <c r="G148" s="375">
        <f>+IF(F148=0,0,+IF(ROUNDUP(SUM($D148:F148),0)&lt;$D25,MIN(($D25-SUM($D148:F148)),+$D25*$B$146),0))</f>
        <v>0</v>
      </c>
      <c r="H148" s="375">
        <f>+IF(G148=0,0,+IF(ROUNDUP(SUM($D148:G148),0)&lt;$D25,MIN(($D25-SUM($D148:G148)),+$D25*$B$146),0))</f>
        <v>0</v>
      </c>
    </row>
    <row r="149" spans="1:8" ht="12.75" hidden="1">
      <c r="A149" s="368">
        <f t="shared" si="30"/>
        <v>2021</v>
      </c>
      <c r="B149" s="369"/>
      <c r="C149" s="370"/>
      <c r="D149" s="370"/>
      <c r="E149" s="403">
        <f>+IF(E$25&lt;0,0,E$25*$B$146)/12*E$31</f>
        <v>0</v>
      </c>
      <c r="F149" s="375">
        <f>+IF(E149=0,0,+IF(ROUNDUP(SUM($E149:E149),0)&lt;$E25,MIN(($E25-SUM($E149:E149)),+$E25*$B$146),0))</f>
        <v>0</v>
      </c>
      <c r="G149" s="375">
        <f>+IF(F149=0,0,+IF(ROUNDUP(SUM($E149:F149),0)&lt;$E25,MIN(($E25-SUM($E149:F149)),+$E25*$B$146),0))</f>
        <v>0</v>
      </c>
      <c r="H149" s="375">
        <f>+IF(G149=0,0,+IF(ROUNDUP(SUM($E149:G149),0)&lt;$E25,MIN(($E25-SUM($E149:G149)),+$E25*$B$146),0))</f>
        <v>0</v>
      </c>
    </row>
    <row r="150" spans="1:8" ht="12.75" hidden="1">
      <c r="A150" s="368">
        <f t="shared" si="30"/>
        <v>2022</v>
      </c>
      <c r="B150" s="369"/>
      <c r="C150" s="370"/>
      <c r="D150" s="370"/>
      <c r="E150" s="370"/>
      <c r="F150" s="403">
        <f>+IF(F$25&lt;0,0,F$25*$B$146)/12*F$31</f>
        <v>0</v>
      </c>
      <c r="G150" s="375">
        <f>+IF(F150=0,0,+IF(ROUNDUP(SUM($F150:F150),0)&lt;$F25,MIN(($F25-SUM($F150:F150)),+$F25*$B$146),0))</f>
        <v>0</v>
      </c>
      <c r="H150" s="375">
        <f>+IF(G150=0,0,+IF(ROUNDUP(SUM($F150:G150),0)&lt;$F25,MIN(($F25-SUM($F150:G150)),+$F25*$B$146),0))</f>
        <v>0</v>
      </c>
    </row>
    <row r="151" spans="1:8" ht="12.75" hidden="1">
      <c r="A151" s="368">
        <f t="shared" si="30"/>
        <v>2023</v>
      </c>
      <c r="B151" s="369"/>
      <c r="C151" s="370"/>
      <c r="D151" s="370"/>
      <c r="E151" s="370"/>
      <c r="F151" s="370"/>
      <c r="G151" s="403">
        <f>+IF(G$25&lt;0,0,G$25*$B$146)/12*G$31</f>
        <v>0</v>
      </c>
      <c r="H151" s="375">
        <f>+IF(G151=0,0,+IF(ROUNDUP(SUM($G151:G151),0)&lt;$G25,MIN(($G25-SUM($G151:G151)),+$G25*$B$146),0))</f>
        <v>0</v>
      </c>
    </row>
    <row r="152" spans="1:8" ht="12.75" hidden="1">
      <c r="A152" s="368">
        <f t="shared" si="30"/>
        <v>2024</v>
      </c>
      <c r="B152" s="369"/>
      <c r="C152" s="370"/>
      <c r="D152" s="370"/>
      <c r="E152" s="370"/>
      <c r="F152" s="370"/>
      <c r="G152" s="370"/>
      <c r="H152" s="403">
        <f>+IF(H$25&lt;0,0,H$25*$B$146)/12*H$31</f>
        <v>0</v>
      </c>
    </row>
    <row r="153" spans="1:8" ht="12.75" hidden="1">
      <c r="A153" s="402" t="s">
        <v>162</v>
      </c>
      <c r="B153" s="398">
        <f>+C74</f>
        <v>0.3333333333333333</v>
      </c>
      <c r="C153" s="399">
        <f aca="true" t="shared" si="31" ref="C153:H153">SUM(C154:C159)</f>
        <v>0</v>
      </c>
      <c r="D153" s="399">
        <f t="shared" si="31"/>
        <v>0</v>
      </c>
      <c r="E153" s="399">
        <f t="shared" si="31"/>
        <v>0</v>
      </c>
      <c r="F153" s="399">
        <f t="shared" si="31"/>
        <v>0</v>
      </c>
      <c r="G153" s="399">
        <f t="shared" si="31"/>
        <v>0</v>
      </c>
      <c r="H153" s="399">
        <f t="shared" si="31"/>
        <v>0</v>
      </c>
    </row>
    <row r="154" spans="1:8" ht="12.75" hidden="1">
      <c r="A154" s="368">
        <f aca="true" t="shared" si="32" ref="A154:A166">A147</f>
        <v>2019</v>
      </c>
      <c r="B154" s="369"/>
      <c r="C154" s="403">
        <f>+IF(C$26&lt;0,0,C$26*$B$153)/12*C$31</f>
        <v>0</v>
      </c>
      <c r="D154" s="404">
        <f>+IF(AND(C154&gt;0,C26&gt;0),+IF(ROUNDUP(SUM($C154:C154),0)&lt;C26,+C26*$B153*(C$31/12)),C26*$B153*(D$31/12))</f>
        <v>0</v>
      </c>
      <c r="E154" s="370">
        <f>+IF(D154=0,0,+IF(ROUNDUP(SUM($C154:D154),0)&lt;$C26,MIN(($C26-SUM($C154:D154)),+$C26*$B$153),0))</f>
        <v>0</v>
      </c>
      <c r="F154" s="370">
        <f>+IF(E154=0,0,+IF(ROUNDUP(SUM($C154:E154),0)&lt;$C26,MIN(($C26-SUM($C154:E154)),+$C26*$B$153),0))</f>
        <v>0</v>
      </c>
      <c r="G154" s="370">
        <f>+IF(F154=0,0,+IF(ROUNDUP(SUM($C154:F154),0)&lt;$C26,MIN(($C26-SUM($C154:F154)),+$C26*$B$153),0))</f>
        <v>0</v>
      </c>
      <c r="H154" s="370">
        <f>+IF(G154=0,0,+IF(ROUNDUP(SUM($C154:G154),0)&lt;$C26,MIN(($C26-SUM($C154:G154)),+$C26*$B$153),0))</f>
        <v>0</v>
      </c>
    </row>
    <row r="155" spans="1:8" ht="12.75" hidden="1">
      <c r="A155" s="368">
        <f t="shared" si="32"/>
        <v>2020</v>
      </c>
      <c r="B155" s="369"/>
      <c r="C155" s="370"/>
      <c r="D155" s="370">
        <f>+IF(D$26&lt;0,0,D$26*$B$153)/12*D$31</f>
        <v>0</v>
      </c>
      <c r="E155" s="403">
        <f>+IF(D155=0,0,+IF(ROUNDUP(SUM($D155:D155),0)&lt;$D$26,MIN(($D$26-SUM($D155:D155)),+$D$26*$B$153),0))</f>
        <v>0</v>
      </c>
      <c r="F155" s="403">
        <f>+IF(E155=0,0,+IF(ROUNDUP(SUM($D155:E155),0)&lt;$D$26,MIN(($D$26-SUM($D155:E155)),+$D$26*$B$153),0))</f>
        <v>0</v>
      </c>
      <c r="G155" s="403">
        <f>+IF(F155=0,0,+IF(ROUNDUP(SUM($D155:F155),0)&lt;$D$26,MIN(($D$26-SUM($D155:F155)),+$D$26*$B$153),0))</f>
        <v>0</v>
      </c>
      <c r="H155" s="403">
        <f>+IF(G155=0,0,+IF(ROUNDUP(SUM($D155:G155),0)&lt;$D$26,MIN(($D$26-SUM($D155:G155)),+$D$26*$B$153),0))</f>
        <v>0</v>
      </c>
    </row>
    <row r="156" spans="1:8" ht="12.75" hidden="1">
      <c r="A156" s="368">
        <f t="shared" si="32"/>
        <v>2021</v>
      </c>
      <c r="B156" s="369"/>
      <c r="C156" s="370"/>
      <c r="D156" s="370"/>
      <c r="E156" s="370">
        <f>+IF(E$26&lt;0,0,E$26*$B$153)/12*E$31</f>
        <v>0</v>
      </c>
      <c r="F156" s="403">
        <f>+IF(E156=0,0,+IF(ROUNDUP(SUM($E156:E156),0)&lt;$E$26,MIN(($E$26-SUM($E156:E156)),+$E$26*$B$153),0))</f>
        <v>0</v>
      </c>
      <c r="G156" s="403">
        <f>+IF(F156=0,0,+IF(ROUNDUP(SUM($E156:F156),0)&lt;$E$26,MIN(($E$26-SUM($E156:F156)),+$E$26*$B$153),0))</f>
        <v>0</v>
      </c>
      <c r="H156" s="403">
        <f>+IF(G156=0,0,+IF(ROUNDUP(SUM($E156:G156),0)&lt;$E$26,MIN(($E$26-SUM($E156:G156)),+$E$26*$B$153),0))</f>
        <v>0</v>
      </c>
    </row>
    <row r="157" spans="1:8" ht="12.75" hidden="1">
      <c r="A157" s="368">
        <f t="shared" si="32"/>
        <v>2022</v>
      </c>
      <c r="B157" s="369"/>
      <c r="C157" s="370"/>
      <c r="D157" s="370"/>
      <c r="E157" s="370"/>
      <c r="F157" s="370">
        <f>+IF(F$26&lt;0,0,F$26*$B$153)/12*F$31</f>
        <v>0</v>
      </c>
      <c r="G157" s="403">
        <f>+IF(F157=0,0,+IF(ROUNDUP(SUM($F157:F157),0)&lt;$F$26,MIN(($F$26-SUM($F157:F157)),+$F$26*$B$153),0))</f>
        <v>0</v>
      </c>
      <c r="H157" s="403">
        <f>+IF(G157=0,0,+IF(ROUNDUP(SUM($F157:G157),0)&lt;$F$26,MIN(($F$26-SUM($F157:G157)),+$F$26*$B$153),0))</f>
        <v>0</v>
      </c>
    </row>
    <row r="158" spans="1:8" ht="12.75" hidden="1">
      <c r="A158" s="368">
        <f t="shared" si="32"/>
        <v>2023</v>
      </c>
      <c r="B158" s="369"/>
      <c r="C158" s="370"/>
      <c r="D158" s="370"/>
      <c r="E158" s="370"/>
      <c r="F158" s="370"/>
      <c r="G158" s="370">
        <f>+IF(G$26&lt;0,0,G$26*$B$153)/12*G$31</f>
        <v>0</v>
      </c>
      <c r="H158" s="403">
        <f>+IF(G158=0,0,+IF(ROUNDUP(SUM($G158:G158),0)&lt;$G$26,MIN(($G$26-SUM($G158:G158)),+$G$26*$B$153),0))</f>
        <v>0</v>
      </c>
    </row>
    <row r="159" spans="1:8" ht="12.75" hidden="1">
      <c r="A159" s="368">
        <f t="shared" si="32"/>
        <v>2024</v>
      </c>
      <c r="B159" s="369"/>
      <c r="C159" s="370"/>
      <c r="D159" s="370"/>
      <c r="E159" s="370"/>
      <c r="F159" s="370"/>
      <c r="G159" s="370"/>
      <c r="H159" s="370">
        <f>+IF(H$26&lt;0,0,H$26*$B$153)/12*H$31</f>
        <v>0</v>
      </c>
    </row>
    <row r="160" spans="1:8" ht="12.75" hidden="1">
      <c r="A160" s="402" t="s">
        <v>163</v>
      </c>
      <c r="B160" s="398">
        <f>+C75</f>
        <v>0.3333333333333333</v>
      </c>
      <c r="C160" s="399">
        <f aca="true" t="shared" si="33" ref="C160:H160">SUM(C161:C166)</f>
        <v>0</v>
      </c>
      <c r="D160" s="399">
        <f t="shared" si="33"/>
        <v>0</v>
      </c>
      <c r="E160" s="399">
        <f t="shared" si="33"/>
        <v>0</v>
      </c>
      <c r="F160" s="399">
        <f t="shared" si="33"/>
        <v>0</v>
      </c>
      <c r="G160" s="399">
        <f t="shared" si="33"/>
        <v>0</v>
      </c>
      <c r="H160" s="399">
        <f t="shared" si="33"/>
        <v>0</v>
      </c>
    </row>
    <row r="161" spans="1:8" ht="12.75" hidden="1">
      <c r="A161" s="368">
        <f t="shared" si="32"/>
        <v>2019</v>
      </c>
      <c r="B161" s="369"/>
      <c r="C161" s="403">
        <f>+IF(C$27&lt;0,0,C$27*$B$160)/12*C$31</f>
        <v>0</v>
      </c>
      <c r="D161" s="404">
        <f>+IF(AND(C161&gt;0,C27&gt;0),+IF(ROUNDUP(SUM($C161:C161),0)&lt;C27,+C27*$B160*(C$31/12)),C27*$B160*(D$31/12))</f>
        <v>0</v>
      </c>
      <c r="E161" s="375">
        <f>+IF(D161=0,0,+IF(ROUNDUP(SUM($C161:D161),0)&lt;$C27,MIN(($C27-SUM($C161:D161)),+$C27*$B$160),0))</f>
        <v>0</v>
      </c>
      <c r="F161" s="375">
        <f>+IF(E161=0,0,+IF(ROUNDUP(SUM($C161:E161),0)&lt;$C27,MIN(($C27-SUM($C161:E161)),+$C27*$B$160),0))</f>
        <v>0</v>
      </c>
      <c r="G161" s="375">
        <f>+IF(F161=0,0,+IF(ROUNDUP(SUM($C161:F161),0)&lt;$C27,MIN(($C27-SUM($C161:F161)),+$C27*$B$160),0))</f>
        <v>0</v>
      </c>
      <c r="H161" s="375">
        <f>+IF(G161=0,0,+IF(ROUNDUP(SUM($C161:G161),0)&lt;$C27,MIN(($C27-SUM($C161:G161)),+$C27*$B$160),0))</f>
        <v>0</v>
      </c>
    </row>
    <row r="162" spans="1:8" ht="12.75" hidden="1">
      <c r="A162" s="368">
        <f t="shared" si="32"/>
        <v>2020</v>
      </c>
      <c r="B162" s="369"/>
      <c r="C162" s="370"/>
      <c r="D162" s="403">
        <f>+IF(D$27&lt;0,0,D$27*$B$160)/12*D$31</f>
        <v>0</v>
      </c>
      <c r="E162" s="375">
        <f>+IF(D162=0,0,+IF(ROUNDUP(SUM($D162:D162),0)&lt;$D$27,MIN(($D$27-SUM($D162:D162)),+$D$27*$B$160),0))</f>
        <v>0</v>
      </c>
      <c r="F162" s="375">
        <f>+IF(E162=0,0,+IF(ROUNDUP(SUM($D162:E162),0)&lt;$D$27,MIN(($D$27-SUM($D162:E162)),+$D$27*$B$160),0))</f>
        <v>0</v>
      </c>
      <c r="G162" s="375">
        <f>+IF(F162=0,0,+IF(ROUNDUP(SUM($D162:F162),0)&lt;$D$27,MIN(($D$27-SUM($D162:F162)),+$D$27*$B$160),0))</f>
        <v>0</v>
      </c>
      <c r="H162" s="375">
        <f>+IF(G162=0,0,+IF(ROUNDUP(SUM($D162:G162),0)&lt;$D$27,MIN(($D$27-SUM($D162:G162)),+$D$27*$B$160),0))</f>
        <v>0</v>
      </c>
    </row>
    <row r="163" spans="1:8" ht="12.75" hidden="1">
      <c r="A163" s="368">
        <f t="shared" si="32"/>
        <v>2021</v>
      </c>
      <c r="B163" s="369"/>
      <c r="C163" s="370"/>
      <c r="D163" s="370"/>
      <c r="E163" s="403">
        <f>+IF(E$27&lt;0,0,E$27*$B$160)/12*E$31</f>
        <v>0</v>
      </c>
      <c r="F163" s="375">
        <f>+IF(E163=0,0,+IF(ROUNDUP(SUM($E163:E163),0)&lt;$E$27,MIN(($E$27-SUM($E163:E163)),+$E$27*$B$160),0))</f>
        <v>0</v>
      </c>
      <c r="G163" s="375">
        <f>+IF(F163=0,0,+IF(ROUNDUP(SUM($E163:F163),0)&lt;$E$27,MIN(($E$27-SUM($E163:F163)),+$E$27*$B$160),0))</f>
        <v>0</v>
      </c>
      <c r="H163" s="375">
        <f>+IF(G163=0,0,+IF(ROUNDUP(SUM($E163:G163),0)&lt;$E$27,MIN(($E$27-SUM($E163:G163)),+$E$27*$B$160),0))</f>
        <v>0</v>
      </c>
    </row>
    <row r="164" spans="1:8" ht="12.75" hidden="1">
      <c r="A164" s="368">
        <f t="shared" si="32"/>
        <v>2022</v>
      </c>
      <c r="B164" s="369"/>
      <c r="C164" s="370"/>
      <c r="D164" s="370"/>
      <c r="E164" s="370"/>
      <c r="F164" s="403">
        <f>+IF(F$27&lt;0,0,F$27*$B$160)/12*F$31</f>
        <v>0</v>
      </c>
      <c r="G164" s="375">
        <f>+IF(F164=0,0,+IF(ROUNDUP(SUM($F164:F164),0)&lt;$F$27,MIN(($F$27-SUM($F164:F164)),+$F$27*$B$160),0))</f>
        <v>0</v>
      </c>
      <c r="H164" s="375">
        <f>+IF(G164=0,0,+IF(ROUNDUP(SUM($F164:G164),0)&lt;$F$27,MIN(($F$27-SUM($F164:G164)),+$F$27*$B$160),0))</f>
        <v>0</v>
      </c>
    </row>
    <row r="165" spans="1:8" ht="12.75" hidden="1">
      <c r="A165" s="368">
        <f t="shared" si="32"/>
        <v>2023</v>
      </c>
      <c r="B165" s="369"/>
      <c r="C165" s="370"/>
      <c r="D165" s="370"/>
      <c r="E165" s="370"/>
      <c r="F165" s="370"/>
      <c r="G165" s="403">
        <f>+IF(G$27&lt;0,0,G$27*$B$160)/12*G$31</f>
        <v>0</v>
      </c>
      <c r="H165" s="375">
        <f>+IF(G165=0,0,+IF(ROUNDUP(SUM($G165:G165),0)&lt;$G$27,MIN(($G$27-SUM($G165:G165)),+$G$27*$B$160),0))</f>
        <v>0</v>
      </c>
    </row>
    <row r="166" spans="1:8" ht="12.75" hidden="1">
      <c r="A166" s="368">
        <f t="shared" si="32"/>
        <v>2024</v>
      </c>
      <c r="B166" s="369"/>
      <c r="C166" s="370"/>
      <c r="D166" s="370"/>
      <c r="E166" s="370"/>
      <c r="F166" s="370"/>
      <c r="G166" s="370"/>
      <c r="H166" s="403">
        <f>+IF(H$27&lt;0,0,H$27*$B$160)/12*H$31</f>
        <v>0</v>
      </c>
    </row>
    <row r="167" spans="1:8" ht="12.75" hidden="1">
      <c r="A167" s="645" t="s">
        <v>31</v>
      </c>
      <c r="B167" s="646"/>
      <c r="C167" s="367">
        <f aca="true" t="shared" si="34" ref="C167:H167">+C139+C146+C153+C160</f>
        <v>0</v>
      </c>
      <c r="D167" s="367">
        <f t="shared" si="34"/>
        <v>0</v>
      </c>
      <c r="E167" s="367">
        <f t="shared" si="34"/>
        <v>0</v>
      </c>
      <c r="F167" s="367">
        <f t="shared" si="34"/>
        <v>0</v>
      </c>
      <c r="G167" s="367">
        <f t="shared" si="34"/>
        <v>0</v>
      </c>
      <c r="H167" s="367">
        <f t="shared" si="34"/>
        <v>0</v>
      </c>
    </row>
    <row r="168" spans="1:8" ht="12.75">
      <c r="A168" s="647" t="s">
        <v>274</v>
      </c>
      <c r="B168" s="648"/>
      <c r="C168" s="290">
        <f aca="true" t="shared" si="35" ref="C168:H168">+C93+C137+C167</f>
        <v>0</v>
      </c>
      <c r="D168" s="290">
        <f t="shared" si="35"/>
        <v>0</v>
      </c>
      <c r="E168" s="290">
        <f t="shared" si="35"/>
        <v>0</v>
      </c>
      <c r="F168" s="290">
        <f t="shared" si="35"/>
        <v>0</v>
      </c>
      <c r="G168" s="290">
        <f t="shared" si="35"/>
        <v>0</v>
      </c>
      <c r="H168" s="290">
        <f t="shared" si="35"/>
        <v>0</v>
      </c>
    </row>
    <row r="169" spans="1:8" ht="12.75">
      <c r="A169" s="156"/>
      <c r="B169" s="156"/>
      <c r="C169" s="293"/>
      <c r="D169" s="293"/>
      <c r="E169" s="293"/>
      <c r="F169" s="293"/>
      <c r="G169" s="293"/>
      <c r="H169" s="293"/>
    </row>
    <row r="170" spans="1:8" ht="12.75">
      <c r="A170" s="156"/>
      <c r="B170" s="156"/>
      <c r="C170" s="293"/>
      <c r="D170" s="293"/>
      <c r="E170" s="293"/>
      <c r="F170" s="293"/>
      <c r="G170" s="293"/>
      <c r="H170" s="293"/>
    </row>
    <row r="171" spans="1:8" ht="12.75">
      <c r="A171" s="480" t="s">
        <v>275</v>
      </c>
      <c r="B171" s="164"/>
      <c r="C171" s="149">
        <f>+C7</f>
        <v>2019</v>
      </c>
      <c r="D171" s="149">
        <f>+C171+1</f>
        <v>2020</v>
      </c>
      <c r="E171" s="149">
        <f>+D171+1</f>
        <v>2021</v>
      </c>
      <c r="F171" s="149">
        <f>+E171+1</f>
        <v>2022</v>
      </c>
      <c r="G171" s="149">
        <f>+F171+1</f>
        <v>2023</v>
      </c>
      <c r="H171" s="149">
        <f>+G171+1</f>
        <v>2024</v>
      </c>
    </row>
    <row r="172" spans="1:8" ht="12.75">
      <c r="A172" s="292" t="s">
        <v>367</v>
      </c>
      <c r="B172" s="151"/>
      <c r="C172" s="294">
        <f>+C93</f>
        <v>0</v>
      </c>
      <c r="D172" s="294">
        <f>+SUM(C93:D93)</f>
        <v>0</v>
      </c>
      <c r="E172" s="294">
        <f>+SUM(C93:E93)</f>
        <v>0</v>
      </c>
      <c r="F172" s="294">
        <f>+SUM(C93:F93)</f>
        <v>0</v>
      </c>
      <c r="G172" s="294">
        <f>+SUM(C93:G93)</f>
        <v>0</v>
      </c>
      <c r="H172" s="294">
        <f>+SUM(C93:H93)</f>
        <v>0</v>
      </c>
    </row>
    <row r="173" spans="1:8" ht="12.75">
      <c r="A173" s="292" t="s">
        <v>372</v>
      </c>
      <c r="B173" s="151"/>
      <c r="C173" s="294">
        <f>+C137</f>
        <v>0</v>
      </c>
      <c r="D173" s="294">
        <f>+SUM(C137:D137)</f>
        <v>0</v>
      </c>
      <c r="E173" s="294">
        <f>+SUM(C137:E137)</f>
        <v>0</v>
      </c>
      <c r="F173" s="294">
        <f>+SUM(C137:F137)</f>
        <v>0</v>
      </c>
      <c r="G173" s="294">
        <f>+SUM(C137:G137)</f>
        <v>0</v>
      </c>
      <c r="H173" s="294">
        <f>+SUM(C137:H137)</f>
        <v>0</v>
      </c>
    </row>
    <row r="174" spans="1:8" ht="12.75">
      <c r="A174" s="291" t="s">
        <v>272</v>
      </c>
      <c r="B174" s="151"/>
      <c r="C174" s="289">
        <f>+C167</f>
        <v>0</v>
      </c>
      <c r="D174" s="289">
        <f>+SUM(C167:D167)</f>
        <v>0</v>
      </c>
      <c r="E174" s="289">
        <f>+SUM(C167:E167)</f>
        <v>0</v>
      </c>
      <c r="F174" s="289">
        <f>+SUM(C167:F167)</f>
        <v>0</v>
      </c>
      <c r="G174" s="289">
        <f>+SUM(C167:G167)</f>
        <v>0</v>
      </c>
      <c r="H174" s="289">
        <f>+SUM(C167:H167)</f>
        <v>0</v>
      </c>
    </row>
    <row r="175" spans="1:8" ht="12.75">
      <c r="A175" s="647" t="s">
        <v>31</v>
      </c>
      <c r="B175" s="648"/>
      <c r="C175" s="154">
        <f aca="true" t="shared" si="36" ref="C175:H175">+C172+C173+C174</f>
        <v>0</v>
      </c>
      <c r="D175" s="154">
        <f t="shared" si="36"/>
        <v>0</v>
      </c>
      <c r="E175" s="154">
        <f t="shared" si="36"/>
        <v>0</v>
      </c>
      <c r="F175" s="154">
        <f t="shared" si="36"/>
        <v>0</v>
      </c>
      <c r="G175" s="154">
        <f t="shared" si="36"/>
        <v>0</v>
      </c>
      <c r="H175" s="154">
        <f t="shared" si="36"/>
        <v>0</v>
      </c>
    </row>
    <row r="176" spans="1:8" ht="12.75">
      <c r="A176" s="156"/>
      <c r="B176" s="156"/>
      <c r="C176" s="293"/>
      <c r="D176" s="293"/>
      <c r="E176" s="293"/>
      <c r="F176" s="293"/>
      <c r="G176" s="293"/>
      <c r="H176" s="293"/>
    </row>
    <row r="177" spans="1:8" ht="12.75">
      <c r="A177" s="156"/>
      <c r="B177" s="156"/>
      <c r="C177" s="293"/>
      <c r="D177" s="293"/>
      <c r="E177" s="293"/>
      <c r="F177" s="293"/>
      <c r="G177" s="293"/>
      <c r="H177" s="293"/>
    </row>
    <row r="178" spans="1:8" ht="12.75">
      <c r="A178" s="480" t="s">
        <v>184</v>
      </c>
      <c r="B178" s="164"/>
      <c r="C178" s="149">
        <f>+C7</f>
        <v>2019</v>
      </c>
      <c r="D178" s="149">
        <f>+C178+1</f>
        <v>2020</v>
      </c>
      <c r="E178" s="149">
        <f>+D178+1</f>
        <v>2021</v>
      </c>
      <c r="F178" s="149">
        <f>+E178+1</f>
        <v>2022</v>
      </c>
      <c r="G178" s="149">
        <f>+F178+1</f>
        <v>2023</v>
      </c>
      <c r="H178" s="149">
        <f>+G178+1</f>
        <v>2024</v>
      </c>
    </row>
    <row r="179" spans="1:8" ht="12.75">
      <c r="A179" s="292" t="s">
        <v>367</v>
      </c>
      <c r="B179" s="151"/>
      <c r="C179" s="294">
        <f aca="true" t="shared" si="37" ref="C179:H179">+C40-C172</f>
        <v>0</v>
      </c>
      <c r="D179" s="294">
        <f t="shared" si="37"/>
        <v>0</v>
      </c>
      <c r="E179" s="294">
        <f t="shared" si="37"/>
        <v>0</v>
      </c>
      <c r="F179" s="294">
        <f t="shared" si="37"/>
        <v>0</v>
      </c>
      <c r="G179" s="294">
        <f t="shared" si="37"/>
        <v>0</v>
      </c>
      <c r="H179" s="294">
        <f t="shared" si="37"/>
        <v>0</v>
      </c>
    </row>
    <row r="180" spans="1:8" ht="12.75">
      <c r="A180" s="292" t="s">
        <v>372</v>
      </c>
      <c r="B180" s="151"/>
      <c r="C180" s="294">
        <f aca="true" t="shared" si="38" ref="C180:H180">+C49-C173</f>
        <v>0</v>
      </c>
      <c r="D180" s="294">
        <f t="shared" si="38"/>
        <v>0</v>
      </c>
      <c r="E180" s="294">
        <f t="shared" si="38"/>
        <v>0</v>
      </c>
      <c r="F180" s="294">
        <f t="shared" si="38"/>
        <v>0</v>
      </c>
      <c r="G180" s="294">
        <f t="shared" si="38"/>
        <v>0</v>
      </c>
      <c r="H180" s="294">
        <f t="shared" si="38"/>
        <v>0</v>
      </c>
    </row>
    <row r="181" spans="1:8" ht="12.75">
      <c r="A181" s="291" t="s">
        <v>272</v>
      </c>
      <c r="B181" s="151"/>
      <c r="C181" s="289">
        <f aca="true" t="shared" si="39" ref="C181:H181">+C56-C174</f>
        <v>0</v>
      </c>
      <c r="D181" s="289">
        <f t="shared" si="39"/>
        <v>0</v>
      </c>
      <c r="E181" s="289">
        <f t="shared" si="39"/>
        <v>0</v>
      </c>
      <c r="F181" s="289">
        <f t="shared" si="39"/>
        <v>0</v>
      </c>
      <c r="G181" s="289">
        <f t="shared" si="39"/>
        <v>0</v>
      </c>
      <c r="H181" s="289">
        <f t="shared" si="39"/>
        <v>0</v>
      </c>
    </row>
    <row r="182" spans="1:8" ht="12.75">
      <c r="A182" s="647" t="s">
        <v>31</v>
      </c>
      <c r="B182" s="648"/>
      <c r="C182" s="154">
        <f aca="true" t="shared" si="40" ref="C182:H182">+C179+C180+C181</f>
        <v>0</v>
      </c>
      <c r="D182" s="154">
        <f t="shared" si="40"/>
        <v>0</v>
      </c>
      <c r="E182" s="154">
        <f t="shared" si="40"/>
        <v>0</v>
      </c>
      <c r="F182" s="154">
        <f t="shared" si="40"/>
        <v>0</v>
      </c>
      <c r="G182" s="154">
        <f t="shared" si="40"/>
        <v>0</v>
      </c>
      <c r="H182" s="154">
        <f t="shared" si="40"/>
        <v>0</v>
      </c>
    </row>
  </sheetData>
  <sheetProtection password="8318" sheet="1"/>
  <mergeCells count="21">
    <mergeCell ref="A4:H4"/>
    <mergeCell ref="A28:B28"/>
    <mergeCell ref="A21:B21"/>
    <mergeCell ref="A12:B12"/>
    <mergeCell ref="A7:B7"/>
    <mergeCell ref="A35:B35"/>
    <mergeCell ref="A60:C60"/>
    <mergeCell ref="A31:B31"/>
    <mergeCell ref="D60:G61"/>
    <mergeCell ref="D72:H73"/>
    <mergeCell ref="A56:B56"/>
    <mergeCell ref="A167:B167"/>
    <mergeCell ref="A182:B182"/>
    <mergeCell ref="A175:B175"/>
    <mergeCell ref="A168:B168"/>
    <mergeCell ref="A29:B29"/>
    <mergeCell ref="A57:B57"/>
    <mergeCell ref="A137:B137"/>
    <mergeCell ref="A40:B40"/>
    <mergeCell ref="A49:B49"/>
    <mergeCell ref="A93:B93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Americo Andre Marco</cp:lastModifiedBy>
  <cp:lastPrinted>2019-09-10T09:14:38Z</cp:lastPrinted>
  <dcterms:created xsi:type="dcterms:W3CDTF">2004-06-30T10:12:30Z</dcterms:created>
  <dcterms:modified xsi:type="dcterms:W3CDTF">2019-09-10T09:14:46Z</dcterms:modified>
  <cp:category/>
  <cp:version/>
  <cp:contentType/>
  <cp:contentStatus/>
</cp:coreProperties>
</file>